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16820" windowHeight="5310" tabRatio="320" activeTab="0"/>
  </bookViews>
  <sheets>
    <sheet name="Proposed Budget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Area" localSheetId="0">'Proposed Budget'!$A$1:$H$630</definedName>
    <definedName name="_xlnm.Print_Area" localSheetId="1">'Sheet1'!$A$1:$J$548</definedName>
    <definedName name="_xlnm.Print_Area" localSheetId="2">'Sheet2'!$A$1:$G$44</definedName>
    <definedName name="_xlnm.Print_Area" localSheetId="3">'Sheet3'!$A$1:$G$44</definedName>
    <definedName name="_xlnm.Print_Area" localSheetId="4">'Sheet4'!$A$1:$I$119</definedName>
  </definedNames>
  <calcPr fullCalcOnLoad="1"/>
</workbook>
</file>

<file path=xl/sharedStrings.xml><?xml version="1.0" encoding="utf-8"?>
<sst xmlns="http://schemas.openxmlformats.org/spreadsheetml/2006/main" count="2271" uniqueCount="644">
  <si>
    <t xml:space="preserve">  301  100</t>
  </si>
  <si>
    <t xml:space="preserve">  301  400</t>
  </si>
  <si>
    <t>Real Estate Tax Delinquent</t>
  </si>
  <si>
    <t xml:space="preserve">  310  101</t>
  </si>
  <si>
    <t>Real Estate Transfer Tax</t>
  </si>
  <si>
    <t xml:space="preserve">  310  211</t>
  </si>
  <si>
    <t>Earned Income Tax</t>
  </si>
  <si>
    <t xml:space="preserve">  310  510</t>
  </si>
  <si>
    <t>Mechanical Device Tax</t>
  </si>
  <si>
    <t xml:space="preserve">  321  802</t>
  </si>
  <si>
    <t>Cable Fees</t>
  </si>
  <si>
    <t xml:space="preserve">  322  801</t>
  </si>
  <si>
    <t>Street Permits</t>
  </si>
  <si>
    <t xml:space="preserve">  331  102</t>
  </si>
  <si>
    <t>Magistrate Fines</t>
  </si>
  <si>
    <t xml:space="preserve">  331  110</t>
  </si>
  <si>
    <t>State Police Fines</t>
  </si>
  <si>
    <t xml:space="preserve">  331  120</t>
  </si>
  <si>
    <t>Borough Fines</t>
  </si>
  <si>
    <t xml:space="preserve">  341  </t>
  </si>
  <si>
    <t>Interest Earned</t>
  </si>
  <si>
    <t xml:space="preserve">  342  200</t>
  </si>
  <si>
    <t>Hall Rental Fees</t>
  </si>
  <si>
    <t xml:space="preserve">  355  011</t>
  </si>
  <si>
    <t>Public Utility Tax</t>
  </si>
  <si>
    <t xml:space="preserve">  355  080</t>
  </si>
  <si>
    <t>Beverage License Refund</t>
  </si>
  <si>
    <t xml:space="preserve">  355  123</t>
  </si>
  <si>
    <t>Foreign Casualty Insurance Tax</t>
  </si>
  <si>
    <t xml:space="preserve">  355  130</t>
  </si>
  <si>
    <t>Foreign Fire Insurance Tax</t>
  </si>
  <si>
    <t xml:space="preserve">  357  070</t>
  </si>
  <si>
    <t>Recreation Allocation</t>
  </si>
  <si>
    <t xml:space="preserve">  361  303</t>
  </si>
  <si>
    <t>Zoning Fees</t>
  </si>
  <si>
    <t xml:space="preserve">  361  350</t>
  </si>
  <si>
    <t>Lien Letters</t>
  </si>
  <si>
    <t xml:space="preserve">  362  115</t>
  </si>
  <si>
    <t>Police Reports</t>
  </si>
  <si>
    <t>Snow Removal Allocation</t>
  </si>
  <si>
    <t xml:space="preserve">  400</t>
  </si>
  <si>
    <t>General Government</t>
  </si>
  <si>
    <t xml:space="preserve">  400  111</t>
  </si>
  <si>
    <t>Council Salary</t>
  </si>
  <si>
    <t xml:space="preserve">  400  113</t>
  </si>
  <si>
    <t>Council President Salary</t>
  </si>
  <si>
    <t>Hospitalization</t>
  </si>
  <si>
    <t xml:space="preserve">  400  160</t>
  </si>
  <si>
    <t xml:space="preserve">  400  161</t>
  </si>
  <si>
    <t>Social Security</t>
  </si>
  <si>
    <t xml:space="preserve">  400  210</t>
  </si>
  <si>
    <t>Office Supplies</t>
  </si>
  <si>
    <t xml:space="preserve">  400  300</t>
  </si>
  <si>
    <t>Miscellaneous</t>
  </si>
  <si>
    <t xml:space="preserve">  400  311</t>
  </si>
  <si>
    <t>Auditor's Fees</t>
  </si>
  <si>
    <t xml:space="preserve">  400  314</t>
  </si>
  <si>
    <t>Ordinance Codification</t>
  </si>
  <si>
    <t xml:space="preserve">  400  321</t>
  </si>
  <si>
    <t>Telephone</t>
  </si>
  <si>
    <t xml:space="preserve">  400  325</t>
  </si>
  <si>
    <t>Postage</t>
  </si>
  <si>
    <t xml:space="preserve">  400  330</t>
  </si>
  <si>
    <t>Transit Authority</t>
  </si>
  <si>
    <t xml:space="preserve">  400  340</t>
  </si>
  <si>
    <t>Advertisement</t>
  </si>
  <si>
    <t xml:space="preserve">  400  374</t>
  </si>
  <si>
    <t>Equipment Maintenance</t>
  </si>
  <si>
    <t xml:space="preserve">  400  420</t>
  </si>
  <si>
    <t>Dues &amp; Subscriptions</t>
  </si>
  <si>
    <t xml:space="preserve">  400  540</t>
  </si>
  <si>
    <t>Mutual Aid Allocation</t>
  </si>
  <si>
    <t xml:space="preserve">  400  542</t>
  </si>
  <si>
    <t>Library Allocation</t>
  </si>
  <si>
    <t>Mayor Salary</t>
  </si>
  <si>
    <t>Pension Contribution</t>
  </si>
  <si>
    <t xml:space="preserve">Social Security </t>
  </si>
  <si>
    <t xml:space="preserve">Unemployment Compensation </t>
  </si>
  <si>
    <t xml:space="preserve">Overtime </t>
  </si>
  <si>
    <t>Pension Administration</t>
  </si>
  <si>
    <t xml:space="preserve">  403</t>
  </si>
  <si>
    <t>Tax Collection</t>
  </si>
  <si>
    <t xml:space="preserve">  403  114</t>
  </si>
  <si>
    <t>Tax Collector Commission</t>
  </si>
  <si>
    <t xml:space="preserve">  403  161</t>
  </si>
  <si>
    <t xml:space="preserve">  403  210</t>
  </si>
  <si>
    <t xml:space="preserve">  403  357</t>
  </si>
  <si>
    <t>Bond</t>
  </si>
  <si>
    <t xml:space="preserve">  404</t>
  </si>
  <si>
    <t>Legal</t>
  </si>
  <si>
    <t xml:space="preserve">  404  131</t>
  </si>
  <si>
    <t>Solicitor's Fees</t>
  </si>
  <si>
    <t>TOTAL ADMINISTRATION</t>
  </si>
  <si>
    <t xml:space="preserve">  409</t>
  </si>
  <si>
    <t>Buildings &amp; Grounds</t>
  </si>
  <si>
    <t xml:space="preserve">  409  143</t>
  </si>
  <si>
    <t>Parttime Wages</t>
  </si>
  <si>
    <t xml:space="preserve">  409  161</t>
  </si>
  <si>
    <t xml:space="preserve">  409  162</t>
  </si>
  <si>
    <t>Unemployment Compensation</t>
  </si>
  <si>
    <t xml:space="preserve">  409  220</t>
  </si>
  <si>
    <t>Operating Supplies</t>
  </si>
  <si>
    <t xml:space="preserve">  409  226</t>
  </si>
  <si>
    <t>Cleaning Supplies</t>
  </si>
  <si>
    <t xml:space="preserve">Diesel Fuel </t>
  </si>
  <si>
    <t xml:space="preserve">  409  361</t>
  </si>
  <si>
    <t>Electric</t>
  </si>
  <si>
    <t xml:space="preserve">  409  362</t>
  </si>
  <si>
    <t>Natural Gas</t>
  </si>
  <si>
    <t xml:space="preserve">  409  366</t>
  </si>
  <si>
    <t>Water</t>
  </si>
  <si>
    <t xml:space="preserve">  409  371</t>
  </si>
  <si>
    <t>Grounds Maintenance</t>
  </si>
  <si>
    <t xml:space="preserve">  409  373</t>
  </si>
  <si>
    <t>Building Maintenance</t>
  </si>
  <si>
    <t xml:space="preserve">  409  451</t>
  </si>
  <si>
    <t xml:space="preserve">Vehicle Maintenance </t>
  </si>
  <si>
    <t xml:space="preserve">  409  600</t>
  </si>
  <si>
    <t>Special Projects</t>
  </si>
  <si>
    <t xml:space="preserve">  410</t>
  </si>
  <si>
    <t xml:space="preserve">  410  122</t>
  </si>
  <si>
    <t>Chief of Police Salary</t>
  </si>
  <si>
    <t xml:space="preserve">  410  134</t>
  </si>
  <si>
    <t xml:space="preserve">  410  143</t>
  </si>
  <si>
    <t xml:space="preserve">  410  156</t>
  </si>
  <si>
    <t xml:space="preserve">  410  160</t>
  </si>
  <si>
    <t xml:space="preserve">  410  161</t>
  </si>
  <si>
    <t xml:space="preserve">  410  162</t>
  </si>
  <si>
    <t xml:space="preserve">  410  174</t>
  </si>
  <si>
    <t>Training</t>
  </si>
  <si>
    <t xml:space="preserve">  410  183</t>
  </si>
  <si>
    <t>Overtime</t>
  </si>
  <si>
    <t xml:space="preserve">  410  187</t>
  </si>
  <si>
    <t>Replacement Wages</t>
  </si>
  <si>
    <t xml:space="preserve">  410  188</t>
  </si>
  <si>
    <t>Court Wages</t>
  </si>
  <si>
    <t xml:space="preserve">  410  210</t>
  </si>
  <si>
    <t xml:space="preserve">  410  220</t>
  </si>
  <si>
    <t xml:space="preserve">  410  231</t>
  </si>
  <si>
    <t>Gas &amp; Oil</t>
  </si>
  <si>
    <t xml:space="preserve">  410  238</t>
  </si>
  <si>
    <t>Uniform Allowance</t>
  </si>
  <si>
    <t xml:space="preserve">  410  260</t>
  </si>
  <si>
    <t xml:space="preserve">Minor Equipment </t>
  </si>
  <si>
    <t xml:space="preserve">  410  300</t>
  </si>
  <si>
    <t xml:space="preserve">  410  312</t>
  </si>
  <si>
    <t xml:space="preserve">  410  321</t>
  </si>
  <si>
    <t xml:space="preserve">  410  325</t>
  </si>
  <si>
    <t xml:space="preserve">  410  327</t>
  </si>
  <si>
    <t>Radio Maintenance</t>
  </si>
  <si>
    <t xml:space="preserve">  410  451</t>
  </si>
  <si>
    <t>Vehicle Maintenance</t>
  </si>
  <si>
    <t xml:space="preserve">  410  452</t>
  </si>
  <si>
    <t>Car Wash</t>
  </si>
  <si>
    <t xml:space="preserve">  410  453</t>
  </si>
  <si>
    <t>Dog Control</t>
  </si>
  <si>
    <t xml:space="preserve">  410  454</t>
  </si>
  <si>
    <t>Call Contract</t>
  </si>
  <si>
    <t xml:space="preserve">  410  760</t>
  </si>
  <si>
    <t xml:space="preserve">  411</t>
  </si>
  <si>
    <t>Fire Department</t>
  </si>
  <si>
    <t>Electrician Salary</t>
  </si>
  <si>
    <t>Unemployment Compensation Ins</t>
  </si>
  <si>
    <t xml:space="preserve">  411  220</t>
  </si>
  <si>
    <t xml:space="preserve">  411  231</t>
  </si>
  <si>
    <t xml:space="preserve">  411  232</t>
  </si>
  <si>
    <t>Diesel Fuel</t>
  </si>
  <si>
    <t xml:space="preserve">  411  260</t>
  </si>
  <si>
    <t xml:space="preserve">  411  321</t>
  </si>
  <si>
    <t xml:space="preserve">  411  327</t>
  </si>
  <si>
    <t xml:space="preserve">  411  363</t>
  </si>
  <si>
    <t>Hydrant Rental</t>
  </si>
  <si>
    <t xml:space="preserve">  411  374</t>
  </si>
  <si>
    <t xml:space="preserve">  411  451</t>
  </si>
  <si>
    <t xml:space="preserve">  411  533</t>
  </si>
  <si>
    <t xml:space="preserve">  411  750</t>
  </si>
  <si>
    <t>Major Equipment</t>
  </si>
  <si>
    <t>Minor Equipment</t>
  </si>
  <si>
    <t xml:space="preserve">  414</t>
  </si>
  <si>
    <t xml:space="preserve">  414  131</t>
  </si>
  <si>
    <t xml:space="preserve">  414  133</t>
  </si>
  <si>
    <t xml:space="preserve">Zoning Officer Salary </t>
  </si>
  <si>
    <t xml:space="preserve">  414  161</t>
  </si>
  <si>
    <t xml:space="preserve">  414  162</t>
  </si>
  <si>
    <t xml:space="preserve">  414  340</t>
  </si>
  <si>
    <t xml:space="preserve">  430</t>
  </si>
  <si>
    <t xml:space="preserve">  430  141</t>
  </si>
  <si>
    <t xml:space="preserve">Foreman Wages </t>
  </si>
  <si>
    <t xml:space="preserve">  430  143</t>
  </si>
  <si>
    <t xml:space="preserve">  430  144</t>
  </si>
  <si>
    <t xml:space="preserve">  430  156</t>
  </si>
  <si>
    <t xml:space="preserve">  430  160</t>
  </si>
  <si>
    <t xml:space="preserve">  430  161</t>
  </si>
  <si>
    <t xml:space="preserve">  430  162</t>
  </si>
  <si>
    <t xml:space="preserve">  430  163</t>
  </si>
  <si>
    <t>Drug &amp; Alcohol Testing</t>
  </si>
  <si>
    <t xml:space="preserve">  430  183</t>
  </si>
  <si>
    <t xml:space="preserve">  430  220</t>
  </si>
  <si>
    <t xml:space="preserve">  430  231</t>
  </si>
  <si>
    <t xml:space="preserve">  430  232</t>
  </si>
  <si>
    <t xml:space="preserve">  430  238</t>
  </si>
  <si>
    <t xml:space="preserve">Clothing Allowance </t>
  </si>
  <si>
    <t xml:space="preserve">  430  245</t>
  </si>
  <si>
    <t>Street Maintenance Supplies</t>
  </si>
  <si>
    <t xml:space="preserve">  430  246</t>
  </si>
  <si>
    <t>Street Signs</t>
  </si>
  <si>
    <t xml:space="preserve">  430  260</t>
  </si>
  <si>
    <t xml:space="preserve">  430  300</t>
  </si>
  <si>
    <t xml:space="preserve">  430  312</t>
  </si>
  <si>
    <t xml:space="preserve">  430  313</t>
  </si>
  <si>
    <t>Engineering Fees</t>
  </si>
  <si>
    <t xml:space="preserve">  430  321</t>
  </si>
  <si>
    <t xml:space="preserve">  430  451</t>
  </si>
  <si>
    <t xml:space="preserve">  430  457</t>
  </si>
  <si>
    <t>One Call Contract</t>
  </si>
  <si>
    <t xml:space="preserve">  430  600</t>
  </si>
  <si>
    <t xml:space="preserve">  433</t>
  </si>
  <si>
    <t>Traffic Signals</t>
  </si>
  <si>
    <t xml:space="preserve">  433  361</t>
  </si>
  <si>
    <t xml:space="preserve">  433  370</t>
  </si>
  <si>
    <t>Maintenance</t>
  </si>
  <si>
    <t xml:space="preserve">  434</t>
  </si>
  <si>
    <t>Street Lights</t>
  </si>
  <si>
    <t xml:space="preserve">  434  361</t>
  </si>
  <si>
    <t>TOTAL STREET DEPARTMENT</t>
  </si>
  <si>
    <t xml:space="preserve">  452</t>
  </si>
  <si>
    <t>Recreation</t>
  </si>
  <si>
    <t xml:space="preserve">  452  143</t>
  </si>
  <si>
    <t xml:space="preserve">  452  161</t>
  </si>
  <si>
    <t xml:space="preserve">  452  162</t>
  </si>
  <si>
    <t xml:space="preserve">  452  300 </t>
  </si>
  <si>
    <t xml:space="preserve">  452  371</t>
  </si>
  <si>
    <t>Field Maintenance</t>
  </si>
  <si>
    <t xml:space="preserve">  452  532</t>
  </si>
  <si>
    <t>Recreation Bd Allocation</t>
  </si>
  <si>
    <t xml:space="preserve">  452  600</t>
  </si>
  <si>
    <t xml:space="preserve">Special Projects </t>
  </si>
  <si>
    <t xml:space="preserve">  486</t>
  </si>
  <si>
    <t>Insurance</t>
  </si>
  <si>
    <t xml:space="preserve">  486  153</t>
  </si>
  <si>
    <t xml:space="preserve">  486  158</t>
  </si>
  <si>
    <t xml:space="preserve">  486  351</t>
  </si>
  <si>
    <t>Public Officials Liability</t>
  </si>
  <si>
    <t xml:space="preserve">  486  352</t>
  </si>
  <si>
    <t>General Liability</t>
  </si>
  <si>
    <t xml:space="preserve">  486  353</t>
  </si>
  <si>
    <t>Police Professional Liability</t>
  </si>
  <si>
    <t xml:space="preserve">  486  354</t>
  </si>
  <si>
    <t xml:space="preserve">  486  355</t>
  </si>
  <si>
    <t xml:space="preserve">  486  356</t>
  </si>
  <si>
    <t xml:space="preserve">  486  357</t>
  </si>
  <si>
    <t xml:space="preserve">  486  359</t>
  </si>
  <si>
    <t>TOTAL GENERAL FUND RECEIPTS</t>
  </si>
  <si>
    <t>TOTAL GENERAL FUND EXPENDITURES</t>
  </si>
  <si>
    <t>PROJECTED SURPLUS (DEFICIT)</t>
  </si>
  <si>
    <t xml:space="preserve">  RECEIPTS</t>
  </si>
  <si>
    <t xml:space="preserve">  EXPENDITURES</t>
  </si>
  <si>
    <t>Debt Interest</t>
  </si>
  <si>
    <t xml:space="preserve">  471</t>
  </si>
  <si>
    <t>Debt Principal</t>
  </si>
  <si>
    <t xml:space="preserve">  472</t>
  </si>
  <si>
    <t>Liquid Fuels Allocation</t>
  </si>
  <si>
    <t>Snow Removal</t>
  </si>
  <si>
    <t xml:space="preserve">  430  760</t>
  </si>
  <si>
    <t>Park Fees</t>
  </si>
  <si>
    <t xml:space="preserve">  454  143</t>
  </si>
  <si>
    <t xml:space="preserve">  454  161</t>
  </si>
  <si>
    <t xml:space="preserve">  454  162</t>
  </si>
  <si>
    <t xml:space="preserve">  454  220</t>
  </si>
  <si>
    <t xml:space="preserve">  454  226</t>
  </si>
  <si>
    <t xml:space="preserve">  454  300</t>
  </si>
  <si>
    <t xml:space="preserve">  454  361</t>
  </si>
  <si>
    <t xml:space="preserve">  364  301</t>
  </si>
  <si>
    <t xml:space="preserve">Garbage Fees </t>
  </si>
  <si>
    <t xml:space="preserve">  364  901</t>
  </si>
  <si>
    <t>Solid Waste Disposal Permits</t>
  </si>
  <si>
    <t xml:space="preserve">  427  121</t>
  </si>
  <si>
    <t xml:space="preserve">  427  141</t>
  </si>
  <si>
    <t xml:space="preserve">  427  142</t>
  </si>
  <si>
    <t xml:space="preserve">  427  143</t>
  </si>
  <si>
    <t xml:space="preserve">  427  144</t>
  </si>
  <si>
    <t xml:space="preserve">  427  156</t>
  </si>
  <si>
    <t xml:space="preserve">  427  161</t>
  </si>
  <si>
    <t xml:space="preserve">  427  162</t>
  </si>
  <si>
    <t xml:space="preserve">  427  183</t>
  </si>
  <si>
    <t xml:space="preserve">  427  210</t>
  </si>
  <si>
    <t xml:space="preserve">  427  232</t>
  </si>
  <si>
    <t xml:space="preserve">  427  238</t>
  </si>
  <si>
    <t xml:space="preserve">  427  300</t>
  </si>
  <si>
    <t xml:space="preserve">  427   321</t>
  </si>
  <si>
    <t xml:space="preserve">  427  325</t>
  </si>
  <si>
    <t xml:space="preserve">  427  355</t>
  </si>
  <si>
    <t>Vehicle Collision Ins</t>
  </si>
  <si>
    <t xml:space="preserve">  427  365</t>
  </si>
  <si>
    <t>Landfill</t>
  </si>
  <si>
    <t xml:space="preserve">  427  451</t>
  </si>
  <si>
    <t xml:space="preserve">  427  760</t>
  </si>
  <si>
    <t>Truck Purchase &amp; Reserve</t>
  </si>
  <si>
    <t>SANITATION FUND</t>
  </si>
  <si>
    <t xml:space="preserve">  411  752</t>
  </si>
  <si>
    <t xml:space="preserve">  454  371</t>
  </si>
  <si>
    <t>Park Maintenance</t>
  </si>
  <si>
    <t>RECEIPTS</t>
  </si>
  <si>
    <t xml:space="preserve">  300</t>
  </si>
  <si>
    <t>Taxes</t>
  </si>
  <si>
    <t xml:space="preserve">  320</t>
  </si>
  <si>
    <t>Licenses &amp; Permits</t>
  </si>
  <si>
    <t xml:space="preserve">  330</t>
  </si>
  <si>
    <t>Fines &amp; Forfeits</t>
  </si>
  <si>
    <t xml:space="preserve">  340</t>
  </si>
  <si>
    <t>Interest, Rents &amp; Royalties</t>
  </si>
  <si>
    <t xml:space="preserve">  350</t>
  </si>
  <si>
    <t>Intergovernmental Revenue</t>
  </si>
  <si>
    <t xml:space="preserve">  360</t>
  </si>
  <si>
    <t>Charges for Services</t>
  </si>
  <si>
    <t xml:space="preserve">  380</t>
  </si>
  <si>
    <t>Miscellaneous Revenue</t>
  </si>
  <si>
    <t>EXPENDITURES</t>
  </si>
  <si>
    <t>Public Safety</t>
  </si>
  <si>
    <t xml:space="preserve">  420</t>
  </si>
  <si>
    <t>Health &amp; Welfare</t>
  </si>
  <si>
    <t>Roads &amp; Streets</t>
  </si>
  <si>
    <t xml:space="preserve">  450</t>
  </si>
  <si>
    <t>Recreation &amp; Parks</t>
  </si>
  <si>
    <t xml:space="preserve">  470</t>
  </si>
  <si>
    <t>Debt Service</t>
  </si>
  <si>
    <t xml:space="preserve">  480</t>
  </si>
  <si>
    <t>Balance Placed Into Reserve</t>
  </si>
  <si>
    <t xml:space="preserve">  310  700</t>
  </si>
  <si>
    <t>TOTAL BUILDINGS &amp; GROUNDS</t>
  </si>
  <si>
    <t>TOTAL POLICE DEPARTMENT</t>
  </si>
  <si>
    <t>Police Department</t>
  </si>
  <si>
    <t>TOTAL FIRE DEPARTMENT</t>
  </si>
  <si>
    <t>Street Department</t>
  </si>
  <si>
    <t>Planning &amp; Zoning</t>
  </si>
  <si>
    <t>TOTAL PLANNING &amp; ZONING</t>
  </si>
  <si>
    <t>TOTAL RECREATION</t>
  </si>
  <si>
    <t>TOTAL INSURANCE</t>
  </si>
  <si>
    <t>Road Reconstruction</t>
  </si>
  <si>
    <t xml:space="preserve">  355  050</t>
  </si>
  <si>
    <t>GENERAL FUND</t>
  </si>
  <si>
    <t>VFD CAPITAL RESERVE FUND</t>
  </si>
  <si>
    <t>MOTOR LICENSE FUND</t>
  </si>
  <si>
    <t>STREET IMPROVEMENT FUND</t>
  </si>
  <si>
    <t>PARK FUND</t>
  </si>
  <si>
    <t>Sergeant Salary</t>
  </si>
  <si>
    <t>Borough Secretary Salary</t>
  </si>
  <si>
    <t>Official's Bond</t>
  </si>
  <si>
    <t xml:space="preserve">Laborer I Wages </t>
  </si>
  <si>
    <t xml:space="preserve">Laborer II Wages </t>
  </si>
  <si>
    <t>Total Assessed Valuation of Borough</t>
  </si>
  <si>
    <t>*</t>
  </si>
  <si>
    <t>**</t>
  </si>
  <si>
    <t>Items that would be transferred back to the General Fund</t>
  </si>
  <si>
    <t>Total amount transferred back to General Fund</t>
  </si>
  <si>
    <t>Equivalent in taxes (58,490.00) / 19,451 =</t>
  </si>
  <si>
    <t>Mills</t>
  </si>
  <si>
    <t>THIS ASSUMES KEEPING 3 FULL-TIME MEN AND 1 PART-TIME MAN</t>
  </si>
  <si>
    <t>TRANSFERRED</t>
  </si>
  <si>
    <t>NET SANITATION BUDGET AFTER TRANSFERRING MONIES TO GENERAL FUND</t>
  </si>
  <si>
    <t>THIS ASSUMES KEEPING 2 FULL-TIME MEN AND 1 PART-TIME MAN</t>
  </si>
  <si>
    <t>Equivalent in taxes (42,955.00) / 19,451 =</t>
  </si>
  <si>
    <t>Loan Payment</t>
  </si>
  <si>
    <t>Real Estate Taxes (2 mills)</t>
  </si>
  <si>
    <t>MONEY AVAILABLE FOR STREETS</t>
  </si>
  <si>
    <t>State Allocation</t>
  </si>
  <si>
    <t>Salt</t>
  </si>
  <si>
    <t>TOTAL MONIES AVAILABLE</t>
  </si>
  <si>
    <t xml:space="preserve">FOR STREET REPAIRS EACH </t>
  </si>
  <si>
    <t>YEAR IN ADDITION TO THE</t>
  </si>
  <si>
    <t>LOAN PROGRAM</t>
  </si>
  <si>
    <t>SURPLUS FUNDS AVAILABLE</t>
  </si>
  <si>
    <t>Real Estate Tax (1 mill not used for building - 1999)</t>
  </si>
  <si>
    <t>Zoning Permit Fees - PPG Building</t>
  </si>
  <si>
    <t>Sale of Broad Street Property</t>
  </si>
  <si>
    <t>Sale of Elm Street Property</t>
  </si>
  <si>
    <t>Purchase Price of Broad Street Property</t>
  </si>
  <si>
    <t>Net Gain</t>
  </si>
  <si>
    <t xml:space="preserve">             *</t>
  </si>
  <si>
    <t xml:space="preserve">            **</t>
  </si>
  <si>
    <t>Using the Figures from the Attached Sheet Which Shows the</t>
  </si>
  <si>
    <t>Employment of Two Full-time and One Part-time Workers</t>
  </si>
  <si>
    <t>Transfer to General Fund - Wages **</t>
  </si>
  <si>
    <t>Sale of 2 Properties *</t>
  </si>
  <si>
    <t>Payment in Lieu of Taxes - PPG Building</t>
  </si>
  <si>
    <t>Transfer 1 Mill from Capital Reserve</t>
  </si>
  <si>
    <t>GARBAGE COLLECTION - PRIVATE HAULER</t>
  </si>
  <si>
    <t>Current Sanitation Fund Budget</t>
  </si>
  <si>
    <t>Fees Received from Residential Customers</t>
  </si>
  <si>
    <t>Fees Received from Commercial Customers</t>
  </si>
  <si>
    <t>Low Bid - Westmoreland Services (per year)</t>
  </si>
  <si>
    <t>Amount Needed in Fees from Residential Customers</t>
  </si>
  <si>
    <t>Current Fees from Residential Customers</t>
  </si>
  <si>
    <t>Rate Reduction for Residential Customers</t>
  </si>
  <si>
    <t xml:space="preserve">  427  321</t>
  </si>
  <si>
    <t>Police Car Purchase</t>
  </si>
  <si>
    <t xml:space="preserve">  342  104</t>
  </si>
  <si>
    <t xml:space="preserve">  439</t>
  </si>
  <si>
    <t xml:space="preserve">  409  231</t>
  </si>
  <si>
    <t xml:space="preserve">  432</t>
  </si>
  <si>
    <t xml:space="preserve">  400  121</t>
  </si>
  <si>
    <t xml:space="preserve">  400  162</t>
  </si>
  <si>
    <t xml:space="preserve">  400  312</t>
  </si>
  <si>
    <t xml:space="preserve">  400  112</t>
  </si>
  <si>
    <t>Longevity</t>
  </si>
  <si>
    <t xml:space="preserve">  410  182</t>
  </si>
  <si>
    <t xml:space="preserve">  410  374</t>
  </si>
  <si>
    <t>____________</t>
  </si>
  <si>
    <t>1 mill =</t>
  </si>
  <si>
    <t>Sick Leave Accumulation</t>
  </si>
  <si>
    <t>Alarm System</t>
  </si>
  <si>
    <t xml:space="preserve">  414  321</t>
  </si>
  <si>
    <t xml:space="preserve">  427  374</t>
  </si>
  <si>
    <t>Dumpster Maintenance &amp; Replacement</t>
  </si>
  <si>
    <t>% INCREASE</t>
  </si>
  <si>
    <t>LIQUID FUELS FUND</t>
  </si>
  <si>
    <t xml:space="preserve">  362  400</t>
  </si>
  <si>
    <t>UCC Permit Fees</t>
  </si>
  <si>
    <t>Debt Principal - Street Paving</t>
  </si>
  <si>
    <t>Debt Interest - Street Paving</t>
  </si>
  <si>
    <t>2007</t>
  </si>
  <si>
    <t xml:space="preserve">  410  186</t>
  </si>
  <si>
    <t xml:space="preserve">  400  760</t>
  </si>
  <si>
    <t>New Copier Purchase</t>
  </si>
  <si>
    <t>Insurance/Miscellaneous</t>
  </si>
  <si>
    <t>BUDGET SUMMARY - ALL FUNDS</t>
  </si>
  <si>
    <t>Health Insurance</t>
  </si>
  <si>
    <t>Truck Purchase</t>
  </si>
  <si>
    <t>2008</t>
  </si>
  <si>
    <t>DIFF 07-08</t>
  </si>
  <si>
    <t xml:space="preserve">  409  601</t>
  </si>
  <si>
    <t>Building Improvement Fund</t>
  </si>
  <si>
    <t>Real Estate Property Tax (1.00 Mills)</t>
  </si>
  <si>
    <t>Miscellaneous (Reserve for Emergencies)</t>
  </si>
  <si>
    <t xml:space="preserve">  410  135</t>
  </si>
  <si>
    <t>Patrolman Salary</t>
  </si>
  <si>
    <t>Disability Ins</t>
  </si>
  <si>
    <t>Life Ins</t>
  </si>
  <si>
    <t>Workers Compensation Ins</t>
  </si>
  <si>
    <t>Property Ins</t>
  </si>
  <si>
    <t>TOTAL BUDGET WITH 3RD FULLTIME OFFICER</t>
  </si>
  <si>
    <t>TOTAL INCREASE WITH 3RD FULLTIME OFFICER</t>
  </si>
  <si>
    <t>BUDGET WITHOUT 3RD FULLTIME OFFICER (including insurance)</t>
  </si>
  <si>
    <t>ADDITIONAL TAX MILLAGE NEEDED</t>
  </si>
  <si>
    <t>TOTAL TAX RATE WITH 3RD FULLTIME OFFICER</t>
  </si>
  <si>
    <t>TOTAL TAX INCREASE WITH 3RD FULLTIME OFFICER</t>
  </si>
  <si>
    <t xml:space="preserve">POLICE BUDGET WITH 3RD FULLTIME OFFICER </t>
  </si>
  <si>
    <t>Local Services Tax</t>
  </si>
  <si>
    <t>Major Equipment (Air Masks)</t>
  </si>
  <si>
    <t>Relief Association</t>
  </si>
  <si>
    <t>Part-time Wages</t>
  </si>
  <si>
    <t>DIFFERENCE</t>
  </si>
  <si>
    <t>TOTAL TAX RATE - ALL FUNDS (Mills)</t>
  </si>
  <si>
    <t xml:space="preserve">  415</t>
  </si>
  <si>
    <t xml:space="preserve">  430  132</t>
  </si>
  <si>
    <t>Emergency Management</t>
  </si>
  <si>
    <t xml:space="preserve">  415  300</t>
  </si>
  <si>
    <t xml:space="preserve">  415  374</t>
  </si>
  <si>
    <t xml:space="preserve">  430  261</t>
  </si>
  <si>
    <t>Small Tools</t>
  </si>
  <si>
    <t>TOTAL EMERGENCY MANAGEMENT</t>
  </si>
  <si>
    <t xml:space="preserve">  410  761</t>
  </si>
  <si>
    <t>Police Car Fund</t>
  </si>
  <si>
    <t xml:space="preserve">  409  375</t>
  </si>
  <si>
    <r>
      <t xml:space="preserve">Line item(s) that have changed (+ or -) are printed in </t>
    </r>
    <r>
      <rPr>
        <b/>
        <sz val="10"/>
        <color indexed="10"/>
        <rFont val="Arial"/>
        <family val="2"/>
      </rPr>
      <t>RED</t>
    </r>
  </si>
  <si>
    <t xml:space="preserve">  414  135</t>
  </si>
  <si>
    <t>Code Enforcement Officer Salary</t>
  </si>
  <si>
    <t>Full-time Wages</t>
  </si>
  <si>
    <t xml:space="preserve">  400  155</t>
  </si>
  <si>
    <t>Vision Plan</t>
  </si>
  <si>
    <t xml:space="preserve">  410  242</t>
  </si>
  <si>
    <t>Ammunition</t>
  </si>
  <si>
    <t xml:space="preserve">  414  210</t>
  </si>
  <si>
    <t>Supervisory Training</t>
  </si>
  <si>
    <t xml:space="preserve">  410  171</t>
  </si>
  <si>
    <t>Training Wages</t>
  </si>
  <si>
    <t>Real Estate Property Tax (3.00 Mills)</t>
  </si>
  <si>
    <t>2013</t>
  </si>
  <si>
    <t>CHANGES</t>
  </si>
  <si>
    <t>Garbage Fees</t>
  </si>
  <si>
    <t>Buildings &amp; Grounds (1/2 of all building related expenses)</t>
  </si>
  <si>
    <t>TOTAL FIRE DEPT. EXPENDITURES</t>
  </si>
  <si>
    <t xml:space="preserve">  410  460</t>
  </si>
  <si>
    <t>Training Service Fees</t>
  </si>
  <si>
    <t>2014</t>
  </si>
  <si>
    <t xml:space="preserve">  400  322</t>
  </si>
  <si>
    <t>Internet</t>
  </si>
  <si>
    <t>Internet (Office &amp; Sign)</t>
  </si>
  <si>
    <t xml:space="preserve">  410  322</t>
  </si>
  <si>
    <t>2015</t>
  </si>
  <si>
    <t xml:space="preserve">  413</t>
  </si>
  <si>
    <t>Fire Pevention Bureau</t>
  </si>
  <si>
    <t xml:space="preserve">  413  135</t>
  </si>
  <si>
    <t xml:space="preserve">  413  161</t>
  </si>
  <si>
    <t xml:space="preserve">  413  162</t>
  </si>
  <si>
    <t xml:space="preserve">  413  300</t>
  </si>
  <si>
    <t>Fire Marshal Salary</t>
  </si>
  <si>
    <t>TOTAL FIRE PREVENTION BUREAU</t>
  </si>
  <si>
    <t xml:space="preserve">  410  157</t>
  </si>
  <si>
    <t>HRA</t>
  </si>
  <si>
    <t xml:space="preserve">  430  157</t>
  </si>
  <si>
    <t xml:space="preserve">  427  157</t>
  </si>
  <si>
    <t>Borough Secretary Bond</t>
  </si>
  <si>
    <t xml:space="preserve">  355  300</t>
  </si>
  <si>
    <t>Impact Fees</t>
  </si>
  <si>
    <t>2015-2016</t>
  </si>
  <si>
    <t>2016</t>
  </si>
  <si>
    <t xml:space="preserve">  430  155</t>
  </si>
  <si>
    <t xml:space="preserve">  361  305</t>
  </si>
  <si>
    <t>Electronic Sign Fees</t>
  </si>
  <si>
    <t>Borough of South Greensburg</t>
  </si>
  <si>
    <t>2016 PROPOSED BUDGET</t>
  </si>
  <si>
    <t>Real Estate Property Tax (16.77 Mills)</t>
  </si>
  <si>
    <t xml:space="preserve">  363  511</t>
  </si>
  <si>
    <t>2017</t>
  </si>
  <si>
    <t>2016-2017</t>
  </si>
  <si>
    <t>need to up in 2018</t>
  </si>
  <si>
    <t>2018 PROPOSED BUDGET</t>
  </si>
  <si>
    <t>INCOME</t>
  </si>
  <si>
    <t>2017-2018</t>
  </si>
  <si>
    <t>CONTRIBUTIONS AND DONATIONS</t>
  </si>
  <si>
    <t xml:space="preserve">TOTAL CONTRIBUTIONS </t>
  </si>
  <si>
    <t>HEALTH FEES</t>
  </si>
  <si>
    <t>Animal Control and Shelter Fees</t>
  </si>
  <si>
    <t>Health Fees- Other</t>
  </si>
  <si>
    <t>Health Insurance Donations</t>
  </si>
  <si>
    <t>Police Donations</t>
  </si>
  <si>
    <t>Recreation Donations</t>
  </si>
  <si>
    <t>Troops Donations</t>
  </si>
  <si>
    <t>Electronic Sign Donations</t>
  </si>
  <si>
    <t xml:space="preserve">TOTAL HEALTH FEES </t>
  </si>
  <si>
    <t>LOCAL GOVERNMENT GRANTS</t>
  </si>
  <si>
    <t>Local Government Grants</t>
  </si>
  <si>
    <t>Recreation Grants</t>
  </si>
  <si>
    <t>SALE OF COPIES</t>
  </si>
  <si>
    <t>STATE CAPITAL/ OPERATING GRANTS</t>
  </si>
  <si>
    <t>Snow Removal Emer. Grant</t>
  </si>
  <si>
    <t>Community Revitalization Grant</t>
  </si>
  <si>
    <t>HIGHWAY &amp; STREETS FEES</t>
  </si>
  <si>
    <t>Highways &amp; Street Fees - Other</t>
  </si>
  <si>
    <t>TOTAL 363</t>
  </si>
  <si>
    <t>TOTAL 357</t>
  </si>
  <si>
    <t>TOTAL 354</t>
  </si>
  <si>
    <t>INTEREST</t>
  </si>
  <si>
    <t>RENTAL FEES</t>
  </si>
  <si>
    <t>Table &amp; Chair Rental</t>
  </si>
  <si>
    <t>Billboard Rental</t>
  </si>
  <si>
    <t>Park Rental Fees</t>
  </si>
  <si>
    <t>TOTAL 342</t>
  </si>
  <si>
    <t xml:space="preserve">RENTAL FEES </t>
  </si>
  <si>
    <t>GENERAL GOVER. FEES</t>
  </si>
  <si>
    <t>Stormwater Plan Review Fees</t>
  </si>
  <si>
    <t>General Gover. Fees</t>
  </si>
  <si>
    <t>Zoning Permit Fees</t>
  </si>
  <si>
    <t xml:space="preserve">Lien Letters </t>
  </si>
  <si>
    <t>TOTAL 361</t>
  </si>
  <si>
    <t>PUBLIC SAFETY FEES</t>
  </si>
  <si>
    <t>Public Safety Fees - Other</t>
  </si>
  <si>
    <t>Fire Inspection Fees</t>
  </si>
  <si>
    <t>TOTAL 362</t>
  </si>
  <si>
    <t>REAL PROPERTY TAXES</t>
  </si>
  <si>
    <t>Real Property Taxes - Other</t>
  </si>
  <si>
    <t>Real Estate Tax - WC - Deliq</t>
  </si>
  <si>
    <t>Real Estate Tax - Current Year</t>
  </si>
  <si>
    <t>TOTAL 301</t>
  </si>
  <si>
    <t>Per Capita Tax - Current Year</t>
  </si>
  <si>
    <t>Per Capita Tax - Prior Year Levy</t>
  </si>
  <si>
    <t>Act 511 Taxes - Other</t>
  </si>
  <si>
    <t>Local Service Tax - PY Levy</t>
  </si>
  <si>
    <t>Earned Income Tax - PY Levy</t>
  </si>
  <si>
    <t>Mechanical Devices Tax</t>
  </si>
  <si>
    <t>Earned Income Tax - Current Yr.</t>
  </si>
  <si>
    <t>Local Service Tax - Current Yr.</t>
  </si>
  <si>
    <t>Business Licenses &amp; Permits - Other</t>
  </si>
  <si>
    <t>Total 321</t>
  </si>
  <si>
    <t>BUSINESS LICENSES &amp; PERMITS</t>
  </si>
  <si>
    <t>TOTAL 310</t>
  </si>
  <si>
    <t>ACT 511 TAXES</t>
  </si>
  <si>
    <t>Proposed</t>
  </si>
  <si>
    <t>Budget</t>
  </si>
  <si>
    <t>Rolling</t>
  </si>
  <si>
    <t>This amount is given by state</t>
  </si>
  <si>
    <t>per Ralph (training)</t>
  </si>
  <si>
    <t>includes Rec Board($250)</t>
  </si>
  <si>
    <t>Total Reveue</t>
  </si>
  <si>
    <t>Economic Development</t>
  </si>
  <si>
    <t>comprehensive plan</t>
  </si>
  <si>
    <t>FINES</t>
  </si>
  <si>
    <t>Court-District Magistrate</t>
  </si>
  <si>
    <t>Vehicle Code Violations</t>
  </si>
  <si>
    <t>Supplemental State Pension System Assistance</t>
  </si>
  <si>
    <t>STATE SHARED REVENUE AND ENTITLEMENTS</t>
  </si>
  <si>
    <t>Public Utility Realty Tax</t>
  </si>
  <si>
    <t>Alcoholic Beverage Licenses</t>
  </si>
  <si>
    <t>Foreign Fire Insurance Premium Tax</t>
  </si>
  <si>
    <t>Marcellus Shale Impact Fees Distribution</t>
  </si>
  <si>
    <t>Total 355</t>
  </si>
  <si>
    <t>amount from PennDot</t>
  </si>
  <si>
    <t>Maronda homes inflated 2017</t>
  </si>
  <si>
    <t>from state</t>
  </si>
  <si>
    <t>100% collected</t>
  </si>
  <si>
    <t>Recycling/Scrap</t>
  </si>
  <si>
    <t>149520.00 residential/ 165124.00 commercial</t>
  </si>
  <si>
    <t>actual</t>
  </si>
  <si>
    <t>Actual 1/1/2017-</t>
  </si>
  <si>
    <t>Equipment Capital Fund</t>
  </si>
  <si>
    <t>Radio Purchase</t>
  </si>
  <si>
    <t>410 112</t>
  </si>
  <si>
    <t>410 113</t>
  </si>
  <si>
    <t>410 115</t>
  </si>
  <si>
    <t>410 196</t>
  </si>
  <si>
    <t>410 198</t>
  </si>
  <si>
    <t>410 197</t>
  </si>
  <si>
    <t>410 192</t>
  </si>
  <si>
    <t>410 194</t>
  </si>
  <si>
    <t>410 117</t>
  </si>
  <si>
    <t>410 118</t>
  </si>
  <si>
    <t>410 119</t>
  </si>
  <si>
    <t>410 120</t>
  </si>
  <si>
    <t>410 123</t>
  </si>
  <si>
    <t>410 124</t>
  </si>
  <si>
    <t>410 125</t>
  </si>
  <si>
    <t xml:space="preserve">410 210 </t>
  </si>
  <si>
    <t>410 220</t>
  </si>
  <si>
    <t>410 231</t>
  </si>
  <si>
    <t>410 238</t>
  </si>
  <si>
    <t>410 242</t>
  </si>
  <si>
    <t>410 260</t>
  </si>
  <si>
    <t>410 300</t>
  </si>
  <si>
    <t>410 310</t>
  </si>
  <si>
    <t>410 321</t>
  </si>
  <si>
    <t>410 325</t>
  </si>
  <si>
    <t>410 215</t>
  </si>
  <si>
    <t>410 327</t>
  </si>
  <si>
    <t>410 374</t>
  </si>
  <si>
    <t>410 251</t>
  </si>
  <si>
    <t>410 318</t>
  </si>
  <si>
    <t>410 453</t>
  </si>
  <si>
    <t>410 317</t>
  </si>
  <si>
    <t>410 319</t>
  </si>
  <si>
    <t>410 750</t>
  </si>
  <si>
    <t>410 761</t>
  </si>
  <si>
    <t>Part-Time Secretary</t>
  </si>
  <si>
    <t>Assistant Borough Secretary Salary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</si>
</sst>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_);_(* \(#,##0.0000\);_(* &quot;-&quot;????_);_(@_)"/>
    <numFmt numFmtId="170" formatCode="[$-409]dddd\,\ mmmm\ dd\,\ yyyy"/>
    <numFmt numFmtId="171" formatCode="m/d/yy;@"/>
    <numFmt numFmtId="172" formatCode="#,##0.000_);\(#,##0.000\)"/>
    <numFmt numFmtId="173" formatCode="#,##0.0_);\(#,##0.0\)"/>
    <numFmt numFmtId="174" formatCode="0_);\(0\)"/>
    <numFmt numFmtId="175" formatCode="_(* #,##0.00000_);_(* \(#,##0.00000\);_(* &quot;-&quot;?????_);_(@_)"/>
    <numFmt numFmtId="176" formatCode="_(* #,##0.000_);_(* \(#,##0.000\);_(* &quot;-&quot;???_);_(@_)"/>
    <numFmt numFmtId="177" formatCode="00000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51">
    <font>
      <sz val="10"/>
      <name val="Arial"/>
      <family val="0"/>
    </font>
    <font>
      <u val="singleAccounting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2"/>
      <name val="Arial Black"/>
      <family val="2"/>
    </font>
    <font>
      <sz val="36"/>
      <name val="Arial Black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4"/>
      <name val="Arial Black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166" fontId="0" fillId="0" borderId="0" xfId="42" applyNumberFormat="1" applyFont="1" applyAlignment="1" quotePrefix="1">
      <alignment/>
    </xf>
    <xf numFmtId="14" fontId="0" fillId="0" borderId="0" xfId="42" applyNumberFormat="1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42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4" fontId="1" fillId="0" borderId="0" xfId="42" applyNumberFormat="1" applyFont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43" fontId="0" fillId="0" borderId="0" xfId="42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42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4" fontId="6" fillId="0" borderId="0" xfId="42" applyNumberFormat="1" applyFont="1" applyAlignment="1" quotePrefix="1">
      <alignment horizontal="center"/>
    </xf>
    <xf numFmtId="43" fontId="1" fillId="0" borderId="0" xfId="42" applyFont="1" applyAlignment="1">
      <alignment horizontal="center"/>
    </xf>
    <xf numFmtId="43" fontId="0" fillId="0" borderId="0" xfId="0" applyNumberFormat="1" applyAlignment="1">
      <alignment horizontal="left"/>
    </xf>
    <xf numFmtId="166" fontId="0" fillId="0" borderId="0" xfId="42" applyNumberFormat="1" applyFont="1" applyAlignment="1">
      <alignment horizontal="left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Alignment="1" quotePrefix="1">
      <alignment/>
    </xf>
    <xf numFmtId="166" fontId="0" fillId="0" borderId="0" xfId="0" applyNumberFormat="1" applyAlignment="1">
      <alignment horizontal="left"/>
    </xf>
    <xf numFmtId="166" fontId="2" fillId="0" borderId="0" xfId="42" applyNumberFormat="1" applyFont="1" applyAlignment="1">
      <alignment/>
    </xf>
    <xf numFmtId="166" fontId="2" fillId="0" borderId="0" xfId="0" applyNumberFormat="1" applyFont="1" applyAlignment="1">
      <alignment horizontal="left"/>
    </xf>
    <xf numFmtId="166" fontId="1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42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 quotePrefix="1">
      <alignment/>
    </xf>
    <xf numFmtId="174" fontId="1" fillId="0" borderId="10" xfId="42" applyNumberFormat="1" applyFont="1" applyBorder="1" applyAlignment="1" quotePrefix="1">
      <alignment horizontal="center"/>
    </xf>
    <xf numFmtId="43" fontId="0" fillId="0" borderId="11" xfId="42" applyFont="1" applyBorder="1" applyAlignment="1">
      <alignment/>
    </xf>
    <xf numFmtId="166" fontId="0" fillId="0" borderId="11" xfId="42" applyNumberFormat="1" applyFont="1" applyBorder="1" applyAlignment="1" quotePrefix="1">
      <alignment/>
    </xf>
    <xf numFmtId="166" fontId="1" fillId="0" borderId="11" xfId="42" applyNumberFormat="1" applyFont="1" applyBorder="1" applyAlignment="1" quotePrefix="1">
      <alignment/>
    </xf>
    <xf numFmtId="43" fontId="2" fillId="0" borderId="11" xfId="42" applyFont="1" applyBorder="1" applyAlignment="1">
      <alignment/>
    </xf>
    <xf numFmtId="166" fontId="1" fillId="0" borderId="11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>
      <alignment/>
    </xf>
    <xf numFmtId="166" fontId="0" fillId="33" borderId="12" xfId="42" applyNumberFormat="1" applyFont="1" applyFill="1" applyBorder="1" applyAlignment="1">
      <alignment/>
    </xf>
    <xf numFmtId="166" fontId="0" fillId="33" borderId="11" xfId="42" applyNumberFormat="1" applyFont="1" applyFill="1" applyBorder="1" applyAlignment="1" quotePrefix="1">
      <alignment/>
    </xf>
    <xf numFmtId="166" fontId="1" fillId="33" borderId="11" xfId="42" applyNumberFormat="1" applyFont="1" applyFill="1" applyBorder="1" applyAlignment="1" quotePrefix="1">
      <alignment/>
    </xf>
    <xf numFmtId="166" fontId="0" fillId="33" borderId="10" xfId="42" applyNumberFormat="1" applyFont="1" applyFill="1" applyBorder="1" applyAlignment="1" quotePrefix="1">
      <alignment/>
    </xf>
    <xf numFmtId="166" fontId="0" fillId="34" borderId="11" xfId="42" applyNumberFormat="1" applyFont="1" applyFill="1" applyBorder="1" applyAlignment="1" quotePrefix="1">
      <alignment/>
    </xf>
    <xf numFmtId="166" fontId="0" fillId="0" borderId="0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166" fontId="1" fillId="33" borderId="0" xfId="42" applyNumberFormat="1" applyFont="1" applyFill="1" applyAlignment="1">
      <alignment/>
    </xf>
    <xf numFmtId="166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42" applyFont="1" applyFill="1" applyAlignment="1">
      <alignment/>
    </xf>
    <xf numFmtId="166" fontId="0" fillId="0" borderId="0" xfId="42" applyNumberFormat="1" applyFont="1" applyAlignment="1" quotePrefix="1">
      <alignment horizontal="center"/>
    </xf>
    <xf numFmtId="166" fontId="2" fillId="0" borderId="11" xfId="42" applyNumberFormat="1" applyFont="1" applyFill="1" applyBorder="1" applyAlignment="1">
      <alignment/>
    </xf>
    <xf numFmtId="166" fontId="1" fillId="0" borderId="11" xfId="42" applyNumberFormat="1" applyFont="1" applyFill="1" applyBorder="1" applyAlignment="1">
      <alignment/>
    </xf>
    <xf numFmtId="174" fontId="1" fillId="0" borderId="0" xfId="42" applyNumberFormat="1" applyFont="1" applyBorder="1" applyAlignment="1" quotePrefix="1">
      <alignment horizontal="center"/>
    </xf>
    <xf numFmtId="166" fontId="0" fillId="0" borderId="0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6" fontId="1" fillId="0" borderId="0" xfId="42" applyNumberFormat="1" applyFont="1" applyFill="1" applyBorder="1" applyAlignment="1" quotePrefix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1" fillId="0" borderId="0" xfId="42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vertical="distributed"/>
    </xf>
    <xf numFmtId="0" fontId="0" fillId="0" borderId="12" xfId="0" applyFill="1" applyBorder="1" applyAlignment="1">
      <alignment horizontal="right"/>
    </xf>
    <xf numFmtId="166" fontId="1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Fill="1" applyAlignment="1">
      <alignment horizontal="right"/>
    </xf>
    <xf numFmtId="0" fontId="10" fillId="0" borderId="0" xfId="0" applyFont="1" applyAlignment="1">
      <alignment/>
    </xf>
    <xf numFmtId="0" fontId="0" fillId="0" borderId="0" xfId="42" applyNumberFormat="1" applyFont="1" applyFill="1" applyAlignment="1" quotePrefix="1">
      <alignment horizontal="right"/>
    </xf>
    <xf numFmtId="43" fontId="0" fillId="0" borderId="0" xfId="42" applyFont="1" applyBorder="1" applyAlignment="1">
      <alignment/>
    </xf>
    <xf numFmtId="43" fontId="2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42" applyNumberFormat="1" applyFont="1" applyBorder="1" applyAlignment="1" quotePrefix="1">
      <alignment horizontal="center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6" fontId="0" fillId="0" borderId="0" xfId="44" applyNumberFormat="1" applyFont="1" applyAlignment="1">
      <alignment/>
    </xf>
    <xf numFmtId="6" fontId="0" fillId="0" borderId="0" xfId="42" applyNumberFormat="1" applyFont="1" applyAlignment="1">
      <alignment/>
    </xf>
    <xf numFmtId="43" fontId="6" fillId="0" borderId="0" xfId="42" applyFont="1" applyAlignment="1">
      <alignment horizontal="center"/>
    </xf>
    <xf numFmtId="0" fontId="49" fillId="0" borderId="0" xfId="0" applyFont="1" applyAlignment="1">
      <alignment/>
    </xf>
    <xf numFmtId="174" fontId="1" fillId="0" borderId="0" xfId="42" applyNumberFormat="1" applyFont="1" applyAlignment="1">
      <alignment horizontal="center"/>
    </xf>
    <xf numFmtId="166" fontId="0" fillId="0" borderId="13" xfId="42" applyNumberFormat="1" applyFont="1" applyFill="1" applyBorder="1" applyAlignment="1" quotePrefix="1">
      <alignment/>
    </xf>
    <xf numFmtId="166" fontId="0" fillId="0" borderId="13" xfId="42" applyNumberFormat="1" applyFont="1" applyBorder="1" applyAlignment="1" quotePrefix="1">
      <alignment/>
    </xf>
    <xf numFmtId="166" fontId="1" fillId="0" borderId="13" xfId="42" applyNumberFormat="1" applyFont="1" applyFill="1" applyBorder="1" applyAlignment="1" quotePrefix="1">
      <alignment/>
    </xf>
    <xf numFmtId="166" fontId="0" fillId="0" borderId="13" xfId="42" applyNumberFormat="1" applyFont="1" applyFill="1" applyBorder="1" applyAlignment="1" quotePrefix="1">
      <alignment/>
    </xf>
    <xf numFmtId="166" fontId="0" fillId="0" borderId="11" xfId="42" applyNumberFormat="1" applyFont="1" applyFill="1" applyBorder="1" applyAlignment="1" quotePrefix="1">
      <alignment/>
    </xf>
    <xf numFmtId="166" fontId="0" fillId="0" borderId="11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0" borderId="12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6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 quotePrefix="1">
      <alignment horizontal="center"/>
    </xf>
    <xf numFmtId="43" fontId="0" fillId="0" borderId="11" xfId="42" applyFont="1" applyBorder="1" applyAlignment="1">
      <alignment/>
    </xf>
    <xf numFmtId="166" fontId="0" fillId="0" borderId="0" xfId="42" applyNumberFormat="1" applyFont="1" applyAlignment="1">
      <alignment/>
    </xf>
    <xf numFmtId="43" fontId="0" fillId="0" borderId="11" xfId="42" applyFont="1" applyFill="1" applyBorder="1" applyAlignment="1">
      <alignment/>
    </xf>
    <xf numFmtId="166" fontId="0" fillId="0" borderId="0" xfId="42" applyNumberFormat="1" applyFont="1" applyAlignment="1" quotePrefix="1">
      <alignment horizontal="left"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/>
    </xf>
    <xf numFmtId="174" fontId="6" fillId="0" borderId="11" xfId="42" applyNumberFormat="1" applyFont="1" applyBorder="1" applyAlignment="1" quotePrefix="1">
      <alignment horizontal="center"/>
    </xf>
    <xf numFmtId="43" fontId="6" fillId="0" borderId="0" xfId="42" applyFont="1" applyAlignment="1" quotePrefix="1">
      <alignment horizontal="left"/>
    </xf>
    <xf numFmtId="43" fontId="0" fillId="0" borderId="0" xfId="42" applyFont="1" applyFill="1" applyBorder="1" applyAlignment="1">
      <alignment horizontal="left"/>
    </xf>
    <xf numFmtId="178" fontId="0" fillId="0" borderId="0" xfId="57" applyNumberFormat="1" applyFont="1" applyAlignment="1">
      <alignment horizontal="right"/>
    </xf>
    <xf numFmtId="43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 horizontal="left"/>
    </xf>
    <xf numFmtId="166" fontId="0" fillId="0" borderId="0" xfId="42" applyNumberFormat="1" applyFont="1" applyFill="1" applyAlignment="1" quotePrefix="1">
      <alignment horizontal="center"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Fill="1" applyAlignment="1" quotePrefix="1">
      <alignment/>
    </xf>
    <xf numFmtId="0" fontId="0" fillId="0" borderId="0" xfId="0" applyFont="1" applyFill="1" applyAlignment="1">
      <alignment/>
    </xf>
    <xf numFmtId="166" fontId="0" fillId="0" borderId="12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4" fontId="0" fillId="0" borderId="11" xfId="42" applyNumberFormat="1" applyFont="1" applyFill="1" applyBorder="1" applyAlignment="1">
      <alignment/>
    </xf>
    <xf numFmtId="43" fontId="0" fillId="0" borderId="0" xfId="42" applyFont="1" applyAlignment="1">
      <alignment horizontal="left"/>
    </xf>
    <xf numFmtId="43" fontId="0" fillId="0" borderId="0" xfId="0" applyNumberFormat="1" applyFont="1" applyAlignment="1">
      <alignment/>
    </xf>
    <xf numFmtId="166" fontId="1" fillId="0" borderId="13" xfId="42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  <xf numFmtId="166" fontId="0" fillId="0" borderId="0" xfId="42" applyNumberFormat="1" applyFont="1" applyFill="1" applyBorder="1" applyAlignment="1" quotePrefix="1">
      <alignment/>
    </xf>
    <xf numFmtId="166" fontId="0" fillId="0" borderId="0" xfId="42" applyNumberFormat="1" applyFont="1" applyFill="1" applyBorder="1" applyAlignment="1">
      <alignment/>
    </xf>
    <xf numFmtId="166" fontId="13" fillId="0" borderId="0" xfId="42" applyNumberFormat="1" applyFont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Alignment="1">
      <alignment/>
    </xf>
    <xf numFmtId="43" fontId="0" fillId="0" borderId="13" xfId="42" applyFont="1" applyBorder="1" applyAlignment="1">
      <alignment/>
    </xf>
    <xf numFmtId="174" fontId="1" fillId="0" borderId="13" xfId="42" applyNumberFormat="1" applyFont="1" applyBorder="1" applyAlignment="1" quotePrefix="1">
      <alignment horizontal="center"/>
    </xf>
    <xf numFmtId="43" fontId="2" fillId="0" borderId="13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3" xfId="42" applyFont="1" applyFill="1" applyBorder="1" applyAlignment="1">
      <alignment/>
    </xf>
    <xf numFmtId="174" fontId="6" fillId="0" borderId="13" xfId="42" applyNumberFormat="1" applyFont="1" applyBorder="1" applyAlignment="1" quotePrefix="1">
      <alignment horizontal="center"/>
    </xf>
    <xf numFmtId="166" fontId="49" fillId="0" borderId="0" xfId="42" applyNumberFormat="1" applyFont="1" applyAlignment="1">
      <alignment horizontal="left"/>
    </xf>
    <xf numFmtId="166" fontId="0" fillId="0" borderId="13" xfId="42" applyNumberFormat="1" applyFont="1" applyFill="1" applyBorder="1" applyAlignment="1">
      <alignment/>
    </xf>
    <xf numFmtId="166" fontId="0" fillId="0" borderId="11" xfId="42" applyNumberFormat="1" applyFont="1" applyFill="1" applyBorder="1" applyAlignment="1" quotePrefix="1">
      <alignment/>
    </xf>
    <xf numFmtId="166" fontId="0" fillId="0" borderId="0" xfId="42" applyNumberFormat="1" applyFont="1" applyFill="1" applyAlignment="1">
      <alignment horizontal="left"/>
    </xf>
    <xf numFmtId="166" fontId="0" fillId="0" borderId="11" xfId="42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 horizontal="right"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0" fillId="0" borderId="0" xfId="42" applyFont="1" applyFill="1" applyBorder="1" applyAlignment="1">
      <alignment/>
    </xf>
    <xf numFmtId="174" fontId="6" fillId="0" borderId="0" xfId="42" applyNumberFormat="1" applyFont="1" applyBorder="1" applyAlignment="1" quotePrefix="1">
      <alignment horizontal="center"/>
    </xf>
    <xf numFmtId="166" fontId="0" fillId="0" borderId="11" xfId="42" applyNumberFormat="1" applyFont="1" applyBorder="1" applyAlignment="1">
      <alignment/>
    </xf>
    <xf numFmtId="166" fontId="49" fillId="0" borderId="11" xfId="42" applyNumberFormat="1" applyFont="1" applyFill="1" applyBorder="1" applyAlignment="1" quotePrefix="1">
      <alignment/>
    </xf>
    <xf numFmtId="166" fontId="49" fillId="0" borderId="13" xfId="42" applyNumberFormat="1" applyFont="1" applyFill="1" applyBorder="1" applyAlignment="1" quotePrefix="1">
      <alignment/>
    </xf>
    <xf numFmtId="166" fontId="49" fillId="0" borderId="11" xfId="42" applyNumberFormat="1" applyFont="1" applyFill="1" applyBorder="1" applyAlignment="1">
      <alignment/>
    </xf>
    <xf numFmtId="166" fontId="49" fillId="0" borderId="13" xfId="42" applyNumberFormat="1" applyFont="1" applyFill="1" applyBorder="1" applyAlignment="1">
      <alignment/>
    </xf>
    <xf numFmtId="166" fontId="50" fillId="0" borderId="11" xfId="42" applyNumberFormat="1" applyFont="1" applyFill="1" applyBorder="1" applyAlignment="1" quotePrefix="1">
      <alignment/>
    </xf>
    <xf numFmtId="166" fontId="50" fillId="0" borderId="0" xfId="42" applyNumberFormat="1" applyFont="1" applyAlignment="1">
      <alignment horizontal="left"/>
    </xf>
    <xf numFmtId="166" fontId="49" fillId="0" borderId="0" xfId="42" applyNumberFormat="1" applyFont="1" applyFill="1" applyAlignment="1">
      <alignment horizontal="left"/>
    </xf>
    <xf numFmtId="166" fontId="49" fillId="0" borderId="12" xfId="42" applyNumberFormat="1" applyFont="1" applyFill="1" applyBorder="1" applyAlignment="1">
      <alignment/>
    </xf>
    <xf numFmtId="166" fontId="50" fillId="0" borderId="11" xfId="42" applyNumberFormat="1" applyFont="1" applyFill="1" applyBorder="1" applyAlignment="1">
      <alignment/>
    </xf>
    <xf numFmtId="166" fontId="49" fillId="0" borderId="11" xfId="42" applyNumberFormat="1" applyFont="1" applyFill="1" applyBorder="1" applyAlignment="1">
      <alignment/>
    </xf>
    <xf numFmtId="166" fontId="49" fillId="0" borderId="11" xfId="42" applyNumberFormat="1" applyFont="1" applyBorder="1" applyAlignment="1" quotePrefix="1">
      <alignment/>
    </xf>
    <xf numFmtId="166" fontId="49" fillId="0" borderId="11" xfId="42" applyNumberFormat="1" applyFont="1" applyBorder="1" applyAlignment="1">
      <alignment/>
    </xf>
    <xf numFmtId="166" fontId="49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1" fillId="0" borderId="10" xfId="42" applyNumberFormat="1" applyFont="1" applyBorder="1" applyAlignment="1" quotePrefix="1">
      <alignment horizontal="center"/>
    </xf>
    <xf numFmtId="43" fontId="1" fillId="0" borderId="0" xfId="42" applyFont="1" applyAlignment="1">
      <alignment horizontal="center"/>
    </xf>
    <xf numFmtId="174" fontId="1" fillId="0" borderId="0" xfId="42" applyNumberFormat="1" applyFont="1" applyAlignment="1">
      <alignment horizontal="center"/>
    </xf>
    <xf numFmtId="174" fontId="0" fillId="0" borderId="11" xfId="42" applyNumberFormat="1" applyFont="1" applyBorder="1" applyAlignment="1" quotePrefix="1">
      <alignment horizontal="center"/>
    </xf>
    <xf numFmtId="174" fontId="1" fillId="0" borderId="11" xfId="42" applyNumberFormat="1" applyFont="1" applyBorder="1" applyAlignment="1" quotePrefix="1">
      <alignment horizontal="center"/>
    </xf>
    <xf numFmtId="174" fontId="6" fillId="0" borderId="11" xfId="42" applyNumberFormat="1" applyFont="1" applyBorder="1" applyAlignment="1" quotePrefix="1">
      <alignment horizontal="center"/>
    </xf>
    <xf numFmtId="166" fontId="0" fillId="0" borderId="0" xfId="42" applyNumberFormat="1" applyFont="1" applyAlignment="1">
      <alignment horizontal="left"/>
    </xf>
    <xf numFmtId="166" fontId="0" fillId="0" borderId="11" xfId="42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1" fillId="0" borderId="11" xfId="42" applyNumberFormat="1" applyFont="1" applyFill="1" applyBorder="1" applyAlignment="1" quotePrefix="1">
      <alignment/>
    </xf>
    <xf numFmtId="166" fontId="0" fillId="0" borderId="0" xfId="0" applyNumberFormat="1" applyFont="1" applyAlignment="1">
      <alignment/>
    </xf>
    <xf numFmtId="166" fontId="0" fillId="0" borderId="11" xfId="42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1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42" applyNumberFormat="1" applyFont="1" applyFill="1" applyAlignment="1" quotePrefix="1">
      <alignment horizontal="right"/>
    </xf>
    <xf numFmtId="43" fontId="0" fillId="0" borderId="0" xfId="42" applyNumberFormat="1" applyFont="1" applyAlignment="1">
      <alignment horizontal="right"/>
    </xf>
    <xf numFmtId="43" fontId="0" fillId="0" borderId="0" xfId="42" applyFont="1" applyAlignment="1">
      <alignment horizontal="left"/>
    </xf>
    <xf numFmtId="43" fontId="0" fillId="0" borderId="0" xfId="0" applyNumberFormat="1" applyFont="1" applyFill="1" applyAlignment="1">
      <alignment horizontal="right"/>
    </xf>
    <xf numFmtId="0" fontId="7" fillId="0" borderId="0" xfId="0" applyFont="1" applyAlignment="1">
      <alignment vertical="distributed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166" fontId="0" fillId="0" borderId="11" xfId="42" applyNumberFormat="1" applyFont="1" applyBorder="1" applyAlignment="1" quotePrefix="1">
      <alignment/>
    </xf>
    <xf numFmtId="166" fontId="0" fillId="0" borderId="13" xfId="42" applyNumberFormat="1" applyFont="1" applyBorder="1" applyAlignment="1" quotePrefix="1">
      <alignment/>
    </xf>
    <xf numFmtId="43" fontId="0" fillId="0" borderId="0" xfId="0" applyNumberFormat="1" applyFont="1" applyAlignment="1">
      <alignment horizontal="right"/>
    </xf>
    <xf numFmtId="166" fontId="0" fillId="0" borderId="11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 quotePrefix="1">
      <alignment/>
    </xf>
    <xf numFmtId="166" fontId="0" fillId="0" borderId="13" xfId="42" applyNumberFormat="1" applyFont="1" applyFill="1" applyBorder="1" applyAlignment="1">
      <alignment/>
    </xf>
    <xf numFmtId="166" fontId="1" fillId="0" borderId="13" xfId="42" applyNumberFormat="1" applyFont="1" applyFill="1" applyBorder="1" applyAlignment="1" quotePrefix="1">
      <alignment/>
    </xf>
    <xf numFmtId="166" fontId="1" fillId="0" borderId="0" xfId="42" applyNumberFormat="1" applyFont="1" applyAlignment="1">
      <alignment horizontal="left"/>
    </xf>
    <xf numFmtId="166" fontId="2" fillId="0" borderId="11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Alignment="1" quotePrefix="1">
      <alignment/>
    </xf>
    <xf numFmtId="166" fontId="1" fillId="0" borderId="11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/>
    </xf>
    <xf numFmtId="43" fontId="2" fillId="0" borderId="14" xfId="42" applyFont="1" applyBorder="1" applyAlignment="1">
      <alignment/>
    </xf>
    <xf numFmtId="166" fontId="0" fillId="0" borderId="14" xfId="42" applyNumberFormat="1" applyFont="1" applyFill="1" applyBorder="1" applyAlignment="1" quotePrefix="1">
      <alignment/>
    </xf>
    <xf numFmtId="166" fontId="0" fillId="0" borderId="0" xfId="0" applyNumberFormat="1" applyFont="1" applyAlignment="1">
      <alignment horizontal="right"/>
    </xf>
    <xf numFmtId="166" fontId="1" fillId="0" borderId="14" xfId="42" applyNumberFormat="1" applyFont="1" applyFill="1" applyBorder="1" applyAlignment="1" quotePrefix="1">
      <alignment/>
    </xf>
    <xf numFmtId="166" fontId="0" fillId="0" borderId="14" xfId="42" applyNumberFormat="1" applyFont="1" applyFill="1" applyBorder="1" applyAlignment="1">
      <alignment/>
    </xf>
    <xf numFmtId="166" fontId="2" fillId="0" borderId="14" xfId="42" applyNumberFormat="1" applyFont="1" applyFill="1" applyBorder="1" applyAlignment="1">
      <alignment/>
    </xf>
    <xf numFmtId="166" fontId="2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6" fontId="1" fillId="0" borderId="0" xfId="42" applyNumberFormat="1" applyFont="1" applyFill="1" applyAlignment="1">
      <alignment horizontal="left"/>
    </xf>
    <xf numFmtId="166" fontId="0" fillId="0" borderId="0" xfId="42" applyNumberFormat="1" applyFont="1" applyFill="1" applyAlignment="1">
      <alignment horizontal="left"/>
    </xf>
    <xf numFmtId="166" fontId="0" fillId="0" borderId="15" xfId="42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/>
    </xf>
    <xf numFmtId="166" fontId="0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3" fontId="6" fillId="0" borderId="0" xfId="42" applyFont="1" applyAlignment="1" quotePrefix="1">
      <alignment horizontal="left"/>
    </xf>
    <xf numFmtId="174" fontId="6" fillId="0" borderId="0" xfId="42" applyNumberFormat="1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3" fontId="0" fillId="0" borderId="0" xfId="42" applyFont="1" applyFill="1" applyBorder="1" applyAlignment="1">
      <alignment horizontal="left"/>
    </xf>
    <xf numFmtId="178" fontId="0" fillId="0" borderId="0" xfId="57" applyNumberFormat="1" applyFont="1" applyAlignment="1">
      <alignment horizontal="right"/>
    </xf>
    <xf numFmtId="43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 horizontal="left"/>
    </xf>
    <xf numFmtId="0" fontId="5" fillId="35" borderId="0" xfId="0" applyFont="1" applyFill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Fill="1" applyAlignment="1" quotePrefix="1">
      <alignment/>
    </xf>
    <xf numFmtId="0" fontId="0" fillId="0" borderId="0" xfId="0" applyFont="1" applyFill="1" applyAlignment="1">
      <alignment/>
    </xf>
    <xf numFmtId="166" fontId="0" fillId="0" borderId="12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4" fontId="0" fillId="0" borderId="1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174" fontId="1" fillId="0" borderId="0" xfId="42" applyNumberFormat="1" applyFont="1" applyBorder="1" applyAlignment="1" quotePrefix="1">
      <alignment horizontal="center"/>
    </xf>
    <xf numFmtId="43" fontId="0" fillId="0" borderId="0" xfId="42" applyFont="1" applyBorder="1" applyAlignment="1">
      <alignment/>
    </xf>
    <xf numFmtId="166" fontId="1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NumberFormat="1" applyFont="1" applyAlignment="1">
      <alignment/>
    </xf>
    <xf numFmtId="0" fontId="0" fillId="35" borderId="0" xfId="0" applyFont="1" applyFill="1" applyAlignment="1">
      <alignment horizontal="right"/>
    </xf>
    <xf numFmtId="174" fontId="1" fillId="35" borderId="10" xfId="42" applyNumberFormat="1" applyFont="1" applyFill="1" applyBorder="1" applyAlignment="1" quotePrefix="1">
      <alignment horizontal="center"/>
    </xf>
    <xf numFmtId="174" fontId="1" fillId="35" borderId="16" xfId="42" applyNumberFormat="1" applyFont="1" applyFill="1" applyBorder="1" applyAlignment="1" quotePrefix="1">
      <alignment horizontal="center"/>
    </xf>
    <xf numFmtId="43" fontId="1" fillId="35" borderId="0" xfId="42" applyFont="1" applyFill="1" applyAlignment="1">
      <alignment horizontal="center"/>
    </xf>
    <xf numFmtId="174" fontId="1" fillId="35" borderId="0" xfId="42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K630"/>
  <sheetViews>
    <sheetView tabSelected="1" zoomScale="85" zoomScaleNormal="85" zoomScalePageLayoutView="0" workbookViewId="0" topLeftCell="A510">
      <selection activeCell="F483" sqref="F483"/>
    </sheetView>
  </sheetViews>
  <sheetFormatPr defaultColWidth="8.8515625" defaultRowHeight="12.75"/>
  <cols>
    <col min="1" max="1" width="11.7109375" style="191" customWidth="1"/>
    <col min="2" max="2" width="29.00390625" style="191" customWidth="1"/>
    <col min="3" max="3" width="5.00390625" style="196" customWidth="1"/>
    <col min="4" max="6" width="12.7109375" style="219" customWidth="1"/>
    <col min="7" max="7" width="12.7109375" style="193" customWidth="1"/>
    <col min="8" max="8" width="24.140625" style="191" bestFit="1" customWidth="1"/>
    <col min="9" max="9" width="9.28125" style="191" bestFit="1" customWidth="1"/>
    <col min="10" max="10" width="10.28125" style="191" bestFit="1" customWidth="1"/>
    <col min="11" max="11" width="11.140625" style="191" bestFit="1" customWidth="1"/>
    <col min="12" max="12" width="9.8515625" style="191" bestFit="1" customWidth="1"/>
    <col min="13" max="16384" width="8.8515625" style="191" customWidth="1"/>
  </cols>
  <sheetData>
    <row r="19" spans="1:8" ht="36.75">
      <c r="A19" s="296" t="s">
        <v>510</v>
      </c>
      <c r="B19" s="296"/>
      <c r="C19" s="296"/>
      <c r="D19" s="296"/>
      <c r="E19" s="296"/>
      <c r="F19" s="296"/>
      <c r="G19" s="296"/>
      <c r="H19" s="296"/>
    </row>
    <row r="20" spans="1:8" ht="54">
      <c r="A20" s="297" t="s">
        <v>517</v>
      </c>
      <c r="B20" s="297"/>
      <c r="C20" s="297"/>
      <c r="D20" s="297"/>
      <c r="E20" s="297"/>
      <c r="F20" s="297"/>
      <c r="G20" s="297"/>
      <c r="H20" s="297"/>
    </row>
    <row r="22" spans="1:8" ht="36.75">
      <c r="A22" s="298">
        <v>42986</v>
      </c>
      <c r="B22" s="298"/>
      <c r="C22" s="298"/>
      <c r="D22" s="298"/>
      <c r="E22" s="298"/>
      <c r="F22" s="298"/>
      <c r="G22" s="298"/>
      <c r="H22" s="298"/>
    </row>
    <row r="40" spans="1:6" ht="12">
      <c r="A40" s="192"/>
      <c r="B40" s="192"/>
      <c r="C40" s="192"/>
      <c r="D40" s="192"/>
      <c r="E40" s="192"/>
      <c r="F40" s="192"/>
    </row>
    <row r="41" spans="2:8" ht="18">
      <c r="B41" s="194" t="s">
        <v>340</v>
      </c>
      <c r="C41" s="195"/>
      <c r="D41" s="195"/>
      <c r="E41" s="195"/>
      <c r="F41" s="195"/>
      <c r="G41" s="195"/>
      <c r="H41" s="195"/>
    </row>
    <row r="42" spans="4:6" ht="12">
      <c r="D42" s="197"/>
      <c r="E42" s="197" t="s">
        <v>604</v>
      </c>
      <c r="F42" s="197"/>
    </row>
    <row r="43" spans="4:8" ht="13.5" thickBot="1">
      <c r="D43" s="198" t="s">
        <v>579</v>
      </c>
      <c r="E43" s="198">
        <v>43008</v>
      </c>
      <c r="F43" s="198" t="s">
        <v>578</v>
      </c>
      <c r="G43" s="199" t="s">
        <v>451</v>
      </c>
      <c r="H43" s="200"/>
    </row>
    <row r="44" spans="1:8" ht="13.5">
      <c r="A44" s="191" t="s">
        <v>518</v>
      </c>
      <c r="D44" s="201" t="s">
        <v>514</v>
      </c>
      <c r="E44" s="201" t="s">
        <v>603</v>
      </c>
      <c r="F44" s="201">
        <v>2018</v>
      </c>
      <c r="G44" s="202" t="s">
        <v>519</v>
      </c>
      <c r="H44" s="203" t="s">
        <v>478</v>
      </c>
    </row>
    <row r="45" spans="1:8" ht="13.5">
      <c r="A45" s="191">
        <v>301</v>
      </c>
      <c r="B45" s="191" t="s">
        <v>560</v>
      </c>
      <c r="D45" s="204">
        <v>0</v>
      </c>
      <c r="E45" s="204">
        <v>0</v>
      </c>
      <c r="F45" s="204">
        <v>0</v>
      </c>
      <c r="G45" s="202"/>
      <c r="H45" s="203"/>
    </row>
    <row r="46" spans="1:8" ht="13.5">
      <c r="A46" s="191">
        <v>301</v>
      </c>
      <c r="B46" s="191" t="s">
        <v>561</v>
      </c>
      <c r="D46" s="204">
        <v>0</v>
      </c>
      <c r="E46" s="204">
        <v>0</v>
      </c>
      <c r="F46" s="204">
        <v>0</v>
      </c>
      <c r="G46" s="202"/>
      <c r="H46" s="203"/>
    </row>
    <row r="47" spans="1:8" ht="13.5">
      <c r="A47" s="191">
        <v>301.4</v>
      </c>
      <c r="B47" s="191" t="s">
        <v>562</v>
      </c>
      <c r="D47" s="204">
        <v>10000</v>
      </c>
      <c r="E47" s="204">
        <v>4762.37</v>
      </c>
      <c r="F47" s="204">
        <v>7000</v>
      </c>
      <c r="G47" s="202"/>
      <c r="H47" s="203"/>
    </row>
    <row r="48" spans="1:8" ht="13.5">
      <c r="A48" s="191">
        <v>301.1</v>
      </c>
      <c r="B48" s="191" t="s">
        <v>563</v>
      </c>
      <c r="D48" s="205">
        <v>362667</v>
      </c>
      <c r="E48" s="205">
        <v>409920</v>
      </c>
      <c r="F48" s="205">
        <v>384338</v>
      </c>
      <c r="G48" s="202"/>
      <c r="H48" s="203" t="s">
        <v>600</v>
      </c>
    </row>
    <row r="49" spans="1:8" ht="13.5">
      <c r="A49" s="191" t="s">
        <v>564</v>
      </c>
      <c r="B49" s="191" t="s">
        <v>560</v>
      </c>
      <c r="D49" s="204">
        <f>SUM(D47:D48)</f>
        <v>372667</v>
      </c>
      <c r="E49" s="204">
        <v>414682</v>
      </c>
      <c r="F49" s="204">
        <f>SUM(F45:F48)</f>
        <v>391338</v>
      </c>
      <c r="G49" s="202"/>
      <c r="H49" s="203"/>
    </row>
    <row r="50" spans="4:8" ht="13.5">
      <c r="D50" s="205"/>
      <c r="E50" s="205"/>
      <c r="F50" s="205"/>
      <c r="G50" s="202"/>
      <c r="H50" s="203"/>
    </row>
    <row r="51" spans="1:8" ht="13.5">
      <c r="A51" s="191">
        <v>310</v>
      </c>
      <c r="B51" s="191" t="s">
        <v>577</v>
      </c>
      <c r="D51" s="205"/>
      <c r="E51" s="205"/>
      <c r="F51" s="205"/>
      <c r="G51" s="202"/>
      <c r="H51" s="203"/>
    </row>
    <row r="52" spans="1:8" ht="13.5">
      <c r="A52" s="191">
        <v>310.01</v>
      </c>
      <c r="B52" s="191" t="s">
        <v>565</v>
      </c>
      <c r="D52" s="204">
        <v>0</v>
      </c>
      <c r="E52" s="204">
        <v>0</v>
      </c>
      <c r="F52" s="204">
        <v>0</v>
      </c>
      <c r="G52" s="202"/>
      <c r="H52" s="203"/>
    </row>
    <row r="53" spans="1:8" ht="13.5">
      <c r="A53" s="191">
        <v>310.02</v>
      </c>
      <c r="B53" s="191" t="s">
        <v>566</v>
      </c>
      <c r="D53" s="204">
        <v>0</v>
      </c>
      <c r="E53" s="204">
        <v>0</v>
      </c>
      <c r="F53" s="204">
        <v>0</v>
      </c>
      <c r="G53" s="202"/>
      <c r="H53" s="203"/>
    </row>
    <row r="54" spans="1:8" ht="13.5">
      <c r="A54" s="191">
        <v>310</v>
      </c>
      <c r="B54" s="191" t="s">
        <v>567</v>
      </c>
      <c r="D54" s="204">
        <v>0</v>
      </c>
      <c r="E54" s="204">
        <v>0</v>
      </c>
      <c r="F54" s="204">
        <v>0</v>
      </c>
      <c r="G54" s="202"/>
      <c r="H54" s="203"/>
    </row>
    <row r="55" spans="1:8" ht="13.5">
      <c r="A55" s="191">
        <v>310.52</v>
      </c>
      <c r="B55" s="191" t="s">
        <v>568</v>
      </c>
      <c r="D55" s="204">
        <v>0</v>
      </c>
      <c r="E55" s="204">
        <v>0</v>
      </c>
      <c r="F55" s="204">
        <v>0</v>
      </c>
      <c r="G55" s="202"/>
      <c r="H55" s="203"/>
    </row>
    <row r="56" spans="1:8" ht="13.5">
      <c r="A56" s="191">
        <v>310.22</v>
      </c>
      <c r="B56" s="191" t="s">
        <v>569</v>
      </c>
      <c r="D56" s="204">
        <v>0</v>
      </c>
      <c r="E56" s="204">
        <v>0</v>
      </c>
      <c r="F56" s="204">
        <v>0</v>
      </c>
      <c r="G56" s="202"/>
      <c r="H56" s="203"/>
    </row>
    <row r="57" spans="1:8" ht="13.5">
      <c r="A57" s="191">
        <v>310.7</v>
      </c>
      <c r="B57" s="191" t="s">
        <v>570</v>
      </c>
      <c r="D57" s="204">
        <v>1650</v>
      </c>
      <c r="E57" s="204">
        <v>1500</v>
      </c>
      <c r="F57" s="204">
        <v>1500</v>
      </c>
      <c r="G57" s="202"/>
      <c r="H57" s="203"/>
    </row>
    <row r="58" spans="1:8" ht="13.5">
      <c r="A58" s="191">
        <v>310.1</v>
      </c>
      <c r="B58" s="191" t="s">
        <v>4</v>
      </c>
      <c r="D58" s="204">
        <v>15000</v>
      </c>
      <c r="E58" s="204">
        <v>40422</v>
      </c>
      <c r="F58" s="204">
        <v>35000</v>
      </c>
      <c r="G58" s="202"/>
      <c r="H58" s="203"/>
    </row>
    <row r="59" spans="1:8" ht="13.5">
      <c r="A59" s="191">
        <v>310.21</v>
      </c>
      <c r="B59" s="191" t="s">
        <v>571</v>
      </c>
      <c r="D59" s="204">
        <v>204092</v>
      </c>
      <c r="E59" s="204">
        <v>169635</v>
      </c>
      <c r="F59" s="204">
        <v>150000</v>
      </c>
      <c r="G59" s="202"/>
      <c r="H59" s="203"/>
    </row>
    <row r="60" spans="1:8" ht="13.5">
      <c r="A60" s="191">
        <v>310.51</v>
      </c>
      <c r="B60" s="191" t="s">
        <v>572</v>
      </c>
      <c r="D60" s="205">
        <v>73457</v>
      </c>
      <c r="E60" s="205">
        <v>100575</v>
      </c>
      <c r="F60" s="205">
        <v>110000</v>
      </c>
      <c r="G60" s="202"/>
      <c r="H60" s="203"/>
    </row>
    <row r="61" spans="1:8" ht="13.5">
      <c r="A61" s="191" t="s">
        <v>576</v>
      </c>
      <c r="B61" s="191" t="s">
        <v>577</v>
      </c>
      <c r="D61" s="204">
        <f>SUM(D52:D60)</f>
        <v>294199</v>
      </c>
      <c r="E61" s="204">
        <f>SUM(E52:E60)</f>
        <v>312132</v>
      </c>
      <c r="F61" s="204">
        <f>SUM(F52:F60)</f>
        <v>296500</v>
      </c>
      <c r="G61" s="202"/>
      <c r="H61" s="203"/>
    </row>
    <row r="62" spans="4:8" ht="13.5">
      <c r="D62" s="204"/>
      <c r="E62" s="204"/>
      <c r="F62" s="204"/>
      <c r="G62" s="202"/>
      <c r="H62" s="203"/>
    </row>
    <row r="63" spans="1:8" ht="13.5">
      <c r="A63" s="191">
        <v>321</v>
      </c>
      <c r="B63" s="191" t="s">
        <v>575</v>
      </c>
      <c r="D63" s="205"/>
      <c r="E63" s="205"/>
      <c r="F63" s="205"/>
      <c r="G63" s="202"/>
      <c r="H63" s="203"/>
    </row>
    <row r="64" spans="1:8" ht="13.5">
      <c r="A64" s="191">
        <v>321</v>
      </c>
      <c r="B64" s="191" t="s">
        <v>573</v>
      </c>
      <c r="D64" s="204">
        <v>0</v>
      </c>
      <c r="E64" s="204">
        <v>0</v>
      </c>
      <c r="F64" s="204">
        <v>0</v>
      </c>
      <c r="G64" s="202"/>
      <c r="H64" s="203"/>
    </row>
    <row r="65" spans="1:8" ht="13.5">
      <c r="A65" s="191">
        <v>321.802</v>
      </c>
      <c r="B65" s="191" t="s">
        <v>10</v>
      </c>
      <c r="D65" s="205">
        <v>49100</v>
      </c>
      <c r="E65" s="205">
        <v>39142</v>
      </c>
      <c r="F65" s="205">
        <v>49100</v>
      </c>
      <c r="G65" s="202"/>
      <c r="H65" s="203"/>
    </row>
    <row r="66" spans="1:8" ht="13.5">
      <c r="A66" s="191" t="s">
        <v>574</v>
      </c>
      <c r="B66" s="191" t="s">
        <v>575</v>
      </c>
      <c r="D66" s="204">
        <f>SUM(D64:D65)</f>
        <v>49100</v>
      </c>
      <c r="E66" s="204">
        <f>SUM(E64:E65)</f>
        <v>39142</v>
      </c>
      <c r="F66" s="204">
        <v>39000</v>
      </c>
      <c r="G66" s="202"/>
      <c r="H66" s="203"/>
    </row>
    <row r="67" spans="4:8" ht="13.5">
      <c r="D67" s="205"/>
      <c r="E67" s="205"/>
      <c r="F67" s="205"/>
      <c r="G67" s="202"/>
      <c r="H67" s="203"/>
    </row>
    <row r="68" spans="1:8" ht="13.5">
      <c r="A68" s="191">
        <v>331</v>
      </c>
      <c r="B68" s="191" t="s">
        <v>587</v>
      </c>
      <c r="D68" s="205"/>
      <c r="E68" s="205"/>
      <c r="F68" s="205"/>
      <c r="G68" s="202"/>
      <c r="H68" s="203"/>
    </row>
    <row r="69" spans="1:8" ht="13.5">
      <c r="A69" s="191">
        <v>331.1</v>
      </c>
      <c r="B69" s="191" t="s">
        <v>588</v>
      </c>
      <c r="D69" s="204">
        <v>15000</v>
      </c>
      <c r="E69" s="204">
        <v>8411</v>
      </c>
      <c r="F69" s="204">
        <v>10000</v>
      </c>
      <c r="G69" s="202"/>
      <c r="H69" s="203"/>
    </row>
    <row r="70" spans="1:8" ht="13.5">
      <c r="A70" s="191">
        <v>331.11</v>
      </c>
      <c r="B70" s="191" t="s">
        <v>589</v>
      </c>
      <c r="D70" s="204">
        <v>750</v>
      </c>
      <c r="E70" s="204">
        <v>390</v>
      </c>
      <c r="F70" s="204">
        <v>400</v>
      </c>
      <c r="G70" s="202"/>
      <c r="H70" s="203"/>
    </row>
    <row r="71" spans="1:8" ht="13.5">
      <c r="A71" s="191">
        <v>331.13</v>
      </c>
      <c r="B71" s="191" t="s">
        <v>16</v>
      </c>
      <c r="D71" s="205">
        <v>1500</v>
      </c>
      <c r="E71" s="205">
        <v>632</v>
      </c>
      <c r="F71" s="205">
        <v>1200</v>
      </c>
      <c r="G71" s="202"/>
      <c r="H71" s="203"/>
    </row>
    <row r="72" spans="4:8" ht="13.5">
      <c r="D72" s="204">
        <f>SUM(D69:D71)</f>
        <v>17250</v>
      </c>
      <c r="E72" s="204">
        <f>SUM(E69:E71)</f>
        <v>9433</v>
      </c>
      <c r="F72" s="204">
        <f>SUM(F69:F71)</f>
        <v>11600</v>
      </c>
      <c r="G72" s="202"/>
      <c r="H72" s="203"/>
    </row>
    <row r="73" spans="4:8" ht="13.5">
      <c r="D73" s="205"/>
      <c r="E73" s="205"/>
      <c r="F73" s="205"/>
      <c r="G73" s="202"/>
      <c r="H73" s="203"/>
    </row>
    <row r="74" spans="4:8" ht="13.5">
      <c r="D74" s="205"/>
      <c r="E74" s="205"/>
      <c r="F74" s="205"/>
      <c r="G74" s="202"/>
      <c r="H74" s="203"/>
    </row>
    <row r="75" spans="4:8" ht="13.5">
      <c r="D75" s="205"/>
      <c r="E75" s="205"/>
      <c r="F75" s="205"/>
      <c r="G75" s="202"/>
      <c r="H75" s="203"/>
    </row>
    <row r="76" spans="1:8" ht="13.5">
      <c r="A76" s="191">
        <v>341.01</v>
      </c>
      <c r="B76" s="191" t="s">
        <v>543</v>
      </c>
      <c r="D76" s="205">
        <v>40</v>
      </c>
      <c r="E76" s="205">
        <v>0</v>
      </c>
      <c r="F76" s="205">
        <v>500</v>
      </c>
      <c r="G76" s="202"/>
      <c r="H76" s="203"/>
    </row>
    <row r="77" spans="4:8" ht="13.5">
      <c r="D77" s="205"/>
      <c r="E77" s="205"/>
      <c r="F77" s="205"/>
      <c r="G77" s="202"/>
      <c r="H77" s="203"/>
    </row>
    <row r="78" spans="1:8" ht="13.5">
      <c r="A78" s="191">
        <v>342</v>
      </c>
      <c r="B78" s="191" t="s">
        <v>544</v>
      </c>
      <c r="D78" s="205"/>
      <c r="E78" s="205"/>
      <c r="F78" s="205"/>
      <c r="G78" s="202"/>
      <c r="H78" s="203"/>
    </row>
    <row r="79" spans="1:8" ht="13.5">
      <c r="A79" s="191">
        <v>342.205</v>
      </c>
      <c r="B79" s="191" t="s">
        <v>545</v>
      </c>
      <c r="D79" s="204"/>
      <c r="E79" s="204">
        <v>5</v>
      </c>
      <c r="F79" s="204">
        <v>5</v>
      </c>
      <c r="G79" s="202"/>
      <c r="H79" s="203"/>
    </row>
    <row r="80" spans="1:8" ht="13.5">
      <c r="A80" s="191">
        <v>342.206</v>
      </c>
      <c r="B80" s="191" t="s">
        <v>546</v>
      </c>
      <c r="D80" s="204"/>
      <c r="E80" s="204">
        <v>0</v>
      </c>
      <c r="F80" s="204">
        <v>332</v>
      </c>
      <c r="G80" s="202"/>
      <c r="H80" s="203"/>
    </row>
    <row r="81" spans="1:8" ht="13.5">
      <c r="A81" s="191">
        <v>342.2</v>
      </c>
      <c r="B81" s="191" t="s">
        <v>22</v>
      </c>
      <c r="D81" s="206">
        <v>1250</v>
      </c>
      <c r="E81" s="206">
        <v>650</v>
      </c>
      <c r="F81" s="206">
        <v>650</v>
      </c>
      <c r="G81" s="202"/>
      <c r="H81" s="203"/>
    </row>
    <row r="82" spans="1:8" ht="13.5" hidden="1">
      <c r="A82" s="191">
        <v>342.105</v>
      </c>
      <c r="B82" s="191" t="s">
        <v>547</v>
      </c>
      <c r="D82" s="205">
        <v>0</v>
      </c>
      <c r="E82" s="205"/>
      <c r="F82" s="205"/>
      <c r="G82" s="202"/>
      <c r="H82" s="203"/>
    </row>
    <row r="83" spans="1:8" ht="13.5">
      <c r="A83" s="191" t="s">
        <v>548</v>
      </c>
      <c r="B83" s="191" t="s">
        <v>549</v>
      </c>
      <c r="D83" s="204">
        <f>SUM(D79:D82)</f>
        <v>1250</v>
      </c>
      <c r="E83" s="204">
        <f>SUM(E79:E82)</f>
        <v>655</v>
      </c>
      <c r="F83" s="204">
        <f>SUM(F79:F82)</f>
        <v>987</v>
      </c>
      <c r="G83" s="202"/>
      <c r="H83" s="203"/>
    </row>
    <row r="84" spans="4:8" ht="13.5">
      <c r="D84" s="205"/>
      <c r="E84" s="205"/>
      <c r="F84" s="205"/>
      <c r="G84" s="202"/>
      <c r="H84" s="203"/>
    </row>
    <row r="85" spans="4:8" ht="13.5">
      <c r="D85" s="205"/>
      <c r="E85" s="205"/>
      <c r="F85" s="205"/>
      <c r="G85" s="202"/>
      <c r="H85" s="203"/>
    </row>
    <row r="86" spans="4:8" ht="13.5">
      <c r="D86" s="205"/>
      <c r="E86" s="205"/>
      <c r="F86" s="205"/>
      <c r="G86" s="202"/>
      <c r="H86" s="203"/>
    </row>
    <row r="87" spans="1:8" ht="13.5">
      <c r="A87" s="191">
        <v>354</v>
      </c>
      <c r="B87" s="191" t="s">
        <v>535</v>
      </c>
      <c r="D87" s="205"/>
      <c r="E87" s="205"/>
      <c r="F87" s="205"/>
      <c r="G87" s="202"/>
      <c r="H87" s="203"/>
    </row>
    <row r="88" spans="1:8" ht="13.5">
      <c r="A88" s="191">
        <v>354.03</v>
      </c>
      <c r="B88" s="191" t="s">
        <v>536</v>
      </c>
      <c r="D88" s="204">
        <v>0</v>
      </c>
      <c r="E88" s="204">
        <v>0</v>
      </c>
      <c r="F88" s="204">
        <v>0</v>
      </c>
      <c r="G88" s="202"/>
      <c r="H88" s="203"/>
    </row>
    <row r="89" spans="1:8" ht="13.5">
      <c r="A89" s="191">
        <v>354.01</v>
      </c>
      <c r="B89" s="191" t="s">
        <v>537</v>
      </c>
      <c r="D89" s="205">
        <v>0</v>
      </c>
      <c r="E89" s="205">
        <v>0</v>
      </c>
      <c r="F89" s="205">
        <v>0</v>
      </c>
      <c r="G89" s="202"/>
      <c r="H89" s="203"/>
    </row>
    <row r="90" spans="1:8" ht="13.5">
      <c r="A90" s="191" t="s">
        <v>542</v>
      </c>
      <c r="B90" s="191" t="s">
        <v>535</v>
      </c>
      <c r="D90" s="204">
        <v>0</v>
      </c>
      <c r="E90" s="204">
        <v>0</v>
      </c>
      <c r="F90" s="204">
        <v>0</v>
      </c>
      <c r="G90" s="202"/>
      <c r="H90" s="203"/>
    </row>
    <row r="91" spans="4:8" ht="13.5">
      <c r="D91" s="205"/>
      <c r="E91" s="205"/>
      <c r="F91" s="205"/>
      <c r="G91" s="202"/>
      <c r="H91" s="203"/>
    </row>
    <row r="92" spans="1:8" ht="13.5">
      <c r="A92" s="191">
        <v>355</v>
      </c>
      <c r="B92" s="191" t="s">
        <v>591</v>
      </c>
      <c r="C92" s="191"/>
      <c r="D92" s="205"/>
      <c r="E92" s="205"/>
      <c r="F92" s="205"/>
      <c r="G92" s="207"/>
      <c r="H92" s="193"/>
    </row>
    <row r="93" spans="1:8" ht="12">
      <c r="A93" s="191">
        <v>355.01</v>
      </c>
      <c r="B93" s="191" t="s">
        <v>592</v>
      </c>
      <c r="D93" s="208">
        <v>760</v>
      </c>
      <c r="E93" s="208">
        <v>2642</v>
      </c>
      <c r="F93" s="208">
        <v>1000</v>
      </c>
      <c r="G93" s="207"/>
      <c r="H93" s="193"/>
    </row>
    <row r="94" spans="1:8" ht="12">
      <c r="A94" s="191">
        <v>355.04</v>
      </c>
      <c r="B94" s="191" t="s">
        <v>593</v>
      </c>
      <c r="D94" s="208">
        <v>1150</v>
      </c>
      <c r="E94" s="208">
        <v>0</v>
      </c>
      <c r="F94" s="208">
        <v>1150</v>
      </c>
      <c r="G94" s="207"/>
      <c r="H94" s="193"/>
    </row>
    <row r="95" spans="1:8" ht="12">
      <c r="A95" s="191">
        <v>355.06</v>
      </c>
      <c r="B95" s="209" t="s">
        <v>590</v>
      </c>
      <c r="C95" s="210"/>
      <c r="D95" s="208">
        <v>13787</v>
      </c>
      <c r="E95" s="208">
        <v>12495</v>
      </c>
      <c r="F95" s="208">
        <v>12647.24</v>
      </c>
      <c r="G95" s="207"/>
      <c r="H95" s="193"/>
    </row>
    <row r="96" spans="1:8" ht="12">
      <c r="A96" s="191">
        <v>355.07</v>
      </c>
      <c r="B96" s="209" t="s">
        <v>594</v>
      </c>
      <c r="C96" s="211"/>
      <c r="D96" s="208">
        <v>12192</v>
      </c>
      <c r="E96" s="208">
        <v>11178.26</v>
      </c>
      <c r="F96" s="208">
        <v>11178.26</v>
      </c>
      <c r="G96" s="207"/>
      <c r="H96" s="193" t="s">
        <v>599</v>
      </c>
    </row>
    <row r="97" spans="1:8" ht="13.5">
      <c r="A97" s="191">
        <v>355.09</v>
      </c>
      <c r="B97" s="191" t="s">
        <v>595</v>
      </c>
      <c r="D97" s="212">
        <v>3064</v>
      </c>
      <c r="E97" s="212">
        <v>4866</v>
      </c>
      <c r="F97" s="212">
        <v>4000</v>
      </c>
      <c r="G97" s="207"/>
      <c r="H97" s="193" t="s">
        <v>407</v>
      </c>
    </row>
    <row r="98" spans="1:8" ht="12">
      <c r="A98" s="191" t="s">
        <v>596</v>
      </c>
      <c r="B98" s="191" t="s">
        <v>591</v>
      </c>
      <c r="D98" s="208">
        <f>SUM(D93:D97)</f>
        <v>30953</v>
      </c>
      <c r="E98" s="208">
        <f>SUM(E93:E97)</f>
        <v>31181.260000000002</v>
      </c>
      <c r="F98" s="208">
        <f>SUM(F93:F97)</f>
        <v>29975.5</v>
      </c>
      <c r="G98" s="207"/>
      <c r="H98" s="193"/>
    </row>
    <row r="99" spans="4:8" ht="12">
      <c r="D99" s="208"/>
      <c r="E99" s="208"/>
      <c r="F99" s="208"/>
      <c r="G99" s="207"/>
      <c r="H99" s="193"/>
    </row>
    <row r="100" spans="4:8" ht="12">
      <c r="D100" s="208"/>
      <c r="E100" s="208"/>
      <c r="F100" s="208"/>
      <c r="G100" s="207"/>
      <c r="H100" s="193"/>
    </row>
    <row r="101" spans="4:8" ht="12">
      <c r="D101" s="208"/>
      <c r="E101" s="208"/>
      <c r="F101" s="208"/>
      <c r="G101" s="207"/>
      <c r="H101" s="193"/>
    </row>
    <row r="102" spans="1:8" ht="12">
      <c r="A102" s="191">
        <v>357</v>
      </c>
      <c r="B102" s="191" t="s">
        <v>531</v>
      </c>
      <c r="D102" s="208"/>
      <c r="E102" s="208"/>
      <c r="F102" s="208"/>
      <c r="G102" s="207"/>
      <c r="H102" s="193"/>
    </row>
    <row r="103" spans="1:8" ht="12">
      <c r="A103" s="191">
        <v>357</v>
      </c>
      <c r="B103" s="191" t="s">
        <v>532</v>
      </c>
      <c r="D103" s="208">
        <v>0</v>
      </c>
      <c r="E103" s="208">
        <v>0</v>
      </c>
      <c r="F103" s="208">
        <v>0</v>
      </c>
      <c r="G103" s="207"/>
      <c r="H103" s="193" t="s">
        <v>407</v>
      </c>
    </row>
    <row r="104" spans="1:8" ht="12">
      <c r="A104" s="191">
        <v>357.07</v>
      </c>
      <c r="B104" s="191" t="s">
        <v>533</v>
      </c>
      <c r="D104" s="208">
        <v>0</v>
      </c>
      <c r="E104" s="208">
        <v>0</v>
      </c>
      <c r="F104" s="208">
        <v>0</v>
      </c>
      <c r="G104" s="207"/>
      <c r="H104" s="193" t="s">
        <v>407</v>
      </c>
    </row>
    <row r="105" spans="1:8" ht="12">
      <c r="A105" s="191">
        <v>357</v>
      </c>
      <c r="B105" s="191" t="s">
        <v>532</v>
      </c>
      <c r="D105" s="208">
        <v>0</v>
      </c>
      <c r="E105" s="208">
        <v>0</v>
      </c>
      <c r="F105" s="208">
        <v>0</v>
      </c>
      <c r="G105" s="207"/>
      <c r="H105" s="193" t="s">
        <v>407</v>
      </c>
    </row>
    <row r="106" spans="1:8" ht="12">
      <c r="A106" s="191" t="s">
        <v>541</v>
      </c>
      <c r="B106" s="191" t="s">
        <v>531</v>
      </c>
      <c r="D106" s="208">
        <v>0</v>
      </c>
      <c r="E106" s="208">
        <v>0</v>
      </c>
      <c r="F106" s="208">
        <v>0</v>
      </c>
      <c r="G106" s="207"/>
      <c r="H106" s="193" t="s">
        <v>407</v>
      </c>
    </row>
    <row r="107" spans="4:8" ht="12">
      <c r="D107" s="208"/>
      <c r="E107" s="208"/>
      <c r="F107" s="208"/>
      <c r="G107" s="207"/>
      <c r="H107" s="193"/>
    </row>
    <row r="108" spans="1:8" ht="12">
      <c r="A108" s="191">
        <v>361.8</v>
      </c>
      <c r="B108" s="191" t="s">
        <v>534</v>
      </c>
      <c r="D108" s="208">
        <v>0</v>
      </c>
      <c r="E108" s="208">
        <v>0</v>
      </c>
      <c r="F108" s="208">
        <v>0</v>
      </c>
      <c r="G108" s="207"/>
      <c r="H108" s="193"/>
    </row>
    <row r="109" spans="4:8" ht="12">
      <c r="D109" s="208"/>
      <c r="E109" s="208"/>
      <c r="F109" s="208"/>
      <c r="G109" s="207"/>
      <c r="H109" s="193"/>
    </row>
    <row r="110" spans="1:8" ht="12">
      <c r="A110" s="191">
        <v>361</v>
      </c>
      <c r="B110" s="191" t="s">
        <v>550</v>
      </c>
      <c r="D110" s="208"/>
      <c r="E110" s="208"/>
      <c r="F110" s="208"/>
      <c r="G110" s="207"/>
      <c r="H110" s="193"/>
    </row>
    <row r="111" spans="1:8" ht="12">
      <c r="A111" s="191">
        <v>361.305</v>
      </c>
      <c r="B111" s="191" t="s">
        <v>509</v>
      </c>
      <c r="D111" s="208">
        <v>300</v>
      </c>
      <c r="E111" s="208">
        <v>362</v>
      </c>
      <c r="F111" s="208">
        <v>300</v>
      </c>
      <c r="G111" s="207"/>
      <c r="H111" s="193"/>
    </row>
    <row r="112" spans="1:8" ht="12">
      <c r="A112" s="191">
        <v>361.304</v>
      </c>
      <c r="B112" s="191" t="s">
        <v>551</v>
      </c>
      <c r="D112" s="208">
        <v>0</v>
      </c>
      <c r="E112" s="208">
        <v>0</v>
      </c>
      <c r="F112" s="208">
        <v>0</v>
      </c>
      <c r="G112" s="207"/>
      <c r="H112" s="193"/>
    </row>
    <row r="113" spans="1:8" ht="12">
      <c r="A113" s="191">
        <v>361</v>
      </c>
      <c r="B113" s="191" t="s">
        <v>552</v>
      </c>
      <c r="D113" s="208">
        <v>0</v>
      </c>
      <c r="E113" s="208">
        <v>20</v>
      </c>
      <c r="F113" s="208">
        <v>20</v>
      </c>
      <c r="G113" s="207"/>
      <c r="H113" s="193"/>
    </row>
    <row r="114" spans="1:8" ht="12">
      <c r="A114" s="191">
        <v>361.33</v>
      </c>
      <c r="B114" s="191" t="s">
        <v>553</v>
      </c>
      <c r="D114" s="208">
        <v>2300</v>
      </c>
      <c r="E114" s="208">
        <v>740</v>
      </c>
      <c r="F114" s="208">
        <v>1000</v>
      </c>
      <c r="G114" s="207"/>
      <c r="H114" s="193"/>
    </row>
    <row r="115" spans="1:8" ht="13.5">
      <c r="A115" s="191">
        <v>361.35</v>
      </c>
      <c r="B115" s="191" t="s">
        <v>554</v>
      </c>
      <c r="D115" s="212">
        <v>200</v>
      </c>
      <c r="E115" s="212">
        <v>1200</v>
      </c>
      <c r="F115" s="212">
        <v>1000</v>
      </c>
      <c r="G115" s="207"/>
      <c r="H115" s="193"/>
    </row>
    <row r="116" spans="1:8" ht="12">
      <c r="A116" s="191" t="s">
        <v>555</v>
      </c>
      <c r="B116" s="191" t="s">
        <v>550</v>
      </c>
      <c r="D116" s="208">
        <v>2500</v>
      </c>
      <c r="E116" s="208">
        <v>1960</v>
      </c>
      <c r="F116" s="208">
        <f>SUM(F111:F115)</f>
        <v>2320</v>
      </c>
      <c r="G116" s="207"/>
      <c r="H116" s="193"/>
    </row>
    <row r="117" spans="4:8" ht="12">
      <c r="D117" s="208"/>
      <c r="E117" s="208"/>
      <c r="F117" s="208"/>
      <c r="G117" s="207"/>
      <c r="H117" s="193"/>
    </row>
    <row r="118" spans="2:8" ht="12">
      <c r="B118" s="191" t="s">
        <v>556</v>
      </c>
      <c r="D118" s="208"/>
      <c r="E118" s="208"/>
      <c r="F118" s="208"/>
      <c r="G118" s="207"/>
      <c r="H118" s="193"/>
    </row>
    <row r="119" spans="1:8" ht="12">
      <c r="A119" s="191">
        <v>362</v>
      </c>
      <c r="B119" s="191" t="s">
        <v>557</v>
      </c>
      <c r="D119" s="208">
        <v>0</v>
      </c>
      <c r="E119" s="208">
        <v>0</v>
      </c>
      <c r="F119" s="208">
        <v>0</v>
      </c>
      <c r="G119" s="207"/>
      <c r="H119" s="193"/>
    </row>
    <row r="120" spans="1:8" ht="12">
      <c r="A120" s="191">
        <v>362.2</v>
      </c>
      <c r="B120" s="191" t="s">
        <v>558</v>
      </c>
      <c r="D120" s="208">
        <v>0</v>
      </c>
      <c r="E120" s="208">
        <v>0</v>
      </c>
      <c r="F120" s="208">
        <v>0</v>
      </c>
      <c r="G120" s="207"/>
      <c r="H120" s="193"/>
    </row>
    <row r="121" spans="1:8" ht="12">
      <c r="A121" s="191">
        <v>362.11</v>
      </c>
      <c r="B121" s="191" t="s">
        <v>38</v>
      </c>
      <c r="D121" s="208">
        <v>750</v>
      </c>
      <c r="E121" s="208">
        <v>495</v>
      </c>
      <c r="F121" s="208">
        <v>390</v>
      </c>
      <c r="G121" s="207"/>
      <c r="H121" s="193"/>
    </row>
    <row r="122" spans="1:8" ht="13.5">
      <c r="A122" s="191">
        <v>362.4</v>
      </c>
      <c r="B122" s="191" t="s">
        <v>417</v>
      </c>
      <c r="D122" s="212">
        <v>1500</v>
      </c>
      <c r="E122" s="212">
        <v>7076</v>
      </c>
      <c r="F122" s="212">
        <v>5000</v>
      </c>
      <c r="G122" s="207"/>
      <c r="H122" s="193" t="s">
        <v>598</v>
      </c>
    </row>
    <row r="123" spans="1:8" ht="12">
      <c r="A123" s="191" t="s">
        <v>559</v>
      </c>
      <c r="B123" s="191" t="s">
        <v>557</v>
      </c>
      <c r="D123" s="208">
        <v>2250</v>
      </c>
      <c r="E123" s="208">
        <v>7571</v>
      </c>
      <c r="F123" s="208">
        <f>SUM(F119:F122)</f>
        <v>5390</v>
      </c>
      <c r="G123" s="207"/>
      <c r="H123" s="193"/>
    </row>
    <row r="124" spans="4:8" ht="12">
      <c r="D124" s="208"/>
      <c r="E124" s="208"/>
      <c r="F124" s="208"/>
      <c r="G124" s="207"/>
      <c r="H124" s="193"/>
    </row>
    <row r="125" spans="4:8" ht="12">
      <c r="D125" s="208"/>
      <c r="E125" s="208"/>
      <c r="F125" s="208"/>
      <c r="G125" s="207"/>
      <c r="H125" s="193"/>
    </row>
    <row r="126" spans="4:8" ht="12">
      <c r="D126" s="208"/>
      <c r="E126" s="208"/>
      <c r="F126" s="208"/>
      <c r="G126" s="207"/>
      <c r="H126" s="193"/>
    </row>
    <row r="127" spans="4:8" ht="12">
      <c r="D127" s="208"/>
      <c r="E127" s="208"/>
      <c r="F127" s="208"/>
      <c r="G127" s="207"/>
      <c r="H127" s="193"/>
    </row>
    <row r="128" spans="1:8" ht="12">
      <c r="A128" s="191">
        <v>363</v>
      </c>
      <c r="B128" s="191" t="s">
        <v>538</v>
      </c>
      <c r="D128" s="208"/>
      <c r="E128" s="208"/>
      <c r="F128" s="208"/>
      <c r="G128" s="207"/>
      <c r="H128" s="193"/>
    </row>
    <row r="129" spans="1:8" ht="12">
      <c r="A129" s="191">
        <v>363.1</v>
      </c>
      <c r="B129" s="191" t="s">
        <v>12</v>
      </c>
      <c r="D129" s="208">
        <v>2000</v>
      </c>
      <c r="E129" s="208"/>
      <c r="F129" s="208">
        <v>2000</v>
      </c>
      <c r="G129" s="207"/>
      <c r="H129" s="193"/>
    </row>
    <row r="130" spans="1:8" ht="12">
      <c r="A130" s="191">
        <v>363.51</v>
      </c>
      <c r="B130" s="191" t="s">
        <v>39</v>
      </c>
      <c r="D130" s="208">
        <v>4429</v>
      </c>
      <c r="E130" s="208">
        <v>4607</v>
      </c>
      <c r="F130" s="208">
        <v>4607</v>
      </c>
      <c r="G130" s="207"/>
      <c r="H130" s="193" t="s">
        <v>597</v>
      </c>
    </row>
    <row r="131" spans="1:8" ht="13.5">
      <c r="A131" s="191">
        <v>363</v>
      </c>
      <c r="B131" s="191" t="s">
        <v>539</v>
      </c>
      <c r="D131" s="212">
        <v>0</v>
      </c>
      <c r="E131" s="212">
        <v>49.24</v>
      </c>
      <c r="F131" s="212">
        <v>40</v>
      </c>
      <c r="G131" s="207"/>
      <c r="H131" s="193"/>
    </row>
    <row r="132" spans="1:8" ht="12">
      <c r="A132" s="191" t="s">
        <v>540</v>
      </c>
      <c r="B132" s="191" t="s">
        <v>538</v>
      </c>
      <c r="D132" s="208">
        <f>SUM(D129:D131)</f>
        <v>6429</v>
      </c>
      <c r="E132" s="208">
        <f>SUM(E130:E131)</f>
        <v>4656.24</v>
      </c>
      <c r="F132" s="208">
        <f>SUM(F129:F131)</f>
        <v>6647</v>
      </c>
      <c r="G132" s="207"/>
      <c r="H132" s="193"/>
    </row>
    <row r="133" spans="4:10" ht="12">
      <c r="D133" s="208"/>
      <c r="E133" s="208"/>
      <c r="F133" s="208"/>
      <c r="G133" s="207"/>
      <c r="H133" s="193"/>
      <c r="J133" s="213"/>
    </row>
    <row r="134" spans="1:8" ht="12">
      <c r="A134" s="191">
        <v>365</v>
      </c>
      <c r="B134" s="191" t="s">
        <v>522</v>
      </c>
      <c r="D134" s="208"/>
      <c r="E134" s="208"/>
      <c r="F134" s="208"/>
      <c r="G134" s="207"/>
      <c r="H134" s="193"/>
    </row>
    <row r="135" spans="1:8" ht="12">
      <c r="A135" s="191">
        <v>365.5</v>
      </c>
      <c r="B135" s="191" t="s">
        <v>523</v>
      </c>
      <c r="D135" s="208">
        <v>0</v>
      </c>
      <c r="E135" s="208">
        <v>0</v>
      </c>
      <c r="F135" s="208">
        <v>0</v>
      </c>
      <c r="G135" s="207"/>
      <c r="H135" s="193" t="s">
        <v>407</v>
      </c>
    </row>
    <row r="136" spans="1:8" ht="12">
      <c r="A136" s="191">
        <v>365</v>
      </c>
      <c r="B136" s="191" t="s">
        <v>524</v>
      </c>
      <c r="D136" s="208">
        <v>0</v>
      </c>
      <c r="E136" s="208">
        <v>0</v>
      </c>
      <c r="F136" s="208">
        <v>0</v>
      </c>
      <c r="G136" s="207"/>
      <c r="H136" s="193" t="s">
        <v>407</v>
      </c>
    </row>
    <row r="137" spans="2:8" ht="12">
      <c r="B137" s="191" t="s">
        <v>530</v>
      </c>
      <c r="D137" s="208">
        <v>0</v>
      </c>
      <c r="E137" s="208">
        <v>0</v>
      </c>
      <c r="F137" s="208">
        <v>0</v>
      </c>
      <c r="G137" s="207"/>
      <c r="H137" s="193" t="s">
        <v>407</v>
      </c>
    </row>
    <row r="138" spans="4:8" ht="12">
      <c r="D138" s="208"/>
      <c r="E138" s="208"/>
      <c r="F138" s="208"/>
      <c r="G138" s="207"/>
      <c r="H138" s="193"/>
    </row>
    <row r="139" spans="1:8" ht="12">
      <c r="A139" s="191">
        <v>387</v>
      </c>
      <c r="B139" s="191" t="s">
        <v>520</v>
      </c>
      <c r="D139" s="208">
        <v>0</v>
      </c>
      <c r="E139" s="208">
        <v>0</v>
      </c>
      <c r="F139" s="208">
        <v>0</v>
      </c>
      <c r="G139" s="207"/>
      <c r="H139" s="193" t="s">
        <v>407</v>
      </c>
    </row>
    <row r="140" spans="1:8" ht="12">
      <c r="A140" s="191">
        <v>387.001</v>
      </c>
      <c r="B140" s="191" t="s">
        <v>525</v>
      </c>
      <c r="D140" s="208">
        <v>0</v>
      </c>
      <c r="E140" s="208">
        <v>0</v>
      </c>
      <c r="F140" s="208">
        <v>0</v>
      </c>
      <c r="G140" s="207"/>
      <c r="H140" s="193" t="s">
        <v>407</v>
      </c>
    </row>
    <row r="141" spans="1:8" ht="12">
      <c r="A141" s="191">
        <v>387.002</v>
      </c>
      <c r="B141" s="191" t="s">
        <v>526</v>
      </c>
      <c r="D141" s="208">
        <v>0</v>
      </c>
      <c r="E141" s="208">
        <v>0</v>
      </c>
      <c r="F141" s="208">
        <v>0</v>
      </c>
      <c r="G141" s="207"/>
      <c r="H141" s="193" t="s">
        <v>407</v>
      </c>
    </row>
    <row r="142" spans="1:8" ht="12">
      <c r="A142" s="191">
        <v>387.003</v>
      </c>
      <c r="B142" s="191" t="s">
        <v>527</v>
      </c>
      <c r="D142" s="208">
        <v>0</v>
      </c>
      <c r="E142" s="208">
        <v>0</v>
      </c>
      <c r="F142" s="208">
        <v>0</v>
      </c>
      <c r="G142" s="207"/>
      <c r="H142" s="193" t="s">
        <v>407</v>
      </c>
    </row>
    <row r="143" spans="1:8" ht="12">
      <c r="A143" s="191">
        <v>387.004</v>
      </c>
      <c r="B143" s="191" t="s">
        <v>528</v>
      </c>
      <c r="D143" s="208">
        <v>0</v>
      </c>
      <c r="E143" s="208">
        <v>0</v>
      </c>
      <c r="F143" s="208">
        <v>0</v>
      </c>
      <c r="G143" s="207"/>
      <c r="H143" s="193" t="s">
        <v>407</v>
      </c>
    </row>
    <row r="144" spans="1:8" ht="13.5">
      <c r="A144" s="191">
        <v>387.005</v>
      </c>
      <c r="B144" s="191" t="s">
        <v>529</v>
      </c>
      <c r="D144" s="212">
        <v>300</v>
      </c>
      <c r="E144" s="212">
        <v>0</v>
      </c>
      <c r="F144" s="212">
        <v>0</v>
      </c>
      <c r="G144" s="207"/>
      <c r="H144" s="193" t="s">
        <v>407</v>
      </c>
    </row>
    <row r="145" spans="2:8" ht="12">
      <c r="B145" s="191" t="s">
        <v>521</v>
      </c>
      <c r="D145" s="208">
        <f>SUM(D139:D144)</f>
        <v>300</v>
      </c>
      <c r="E145" s="208">
        <v>0</v>
      </c>
      <c r="F145" s="208"/>
      <c r="G145" s="207"/>
      <c r="H145" s="193"/>
    </row>
    <row r="146" spans="4:8" ht="12">
      <c r="D146" s="208"/>
      <c r="E146" s="208"/>
      <c r="F146" s="208"/>
      <c r="G146" s="207"/>
      <c r="H146" s="193"/>
    </row>
    <row r="147" spans="2:8" ht="12">
      <c r="B147" s="191" t="s">
        <v>584</v>
      </c>
      <c r="D147" s="214">
        <f>D132+D123+D116+D98+D90+D83+D76+D72+D66+D61+D49+D145</f>
        <v>776938</v>
      </c>
      <c r="E147" s="214">
        <f>SUM(E93:E146)</f>
        <v>91099.00000000001</v>
      </c>
      <c r="F147" s="214">
        <f>F132+F123+F116+F98+F83+F76+F72+F66+F61+F49</f>
        <v>784257.5</v>
      </c>
      <c r="G147" s="207"/>
      <c r="H147" s="193" t="s">
        <v>407</v>
      </c>
    </row>
    <row r="148" spans="4:6" ht="12">
      <c r="D148" s="215"/>
      <c r="E148" s="215"/>
      <c r="F148" s="215"/>
    </row>
    <row r="149" spans="4:6" ht="12">
      <c r="D149" s="215"/>
      <c r="E149" s="215"/>
      <c r="F149" s="215"/>
    </row>
    <row r="150" spans="4:6" ht="12">
      <c r="D150" s="215"/>
      <c r="E150" s="215"/>
      <c r="F150" s="215"/>
    </row>
    <row r="151" spans="3:8" ht="12">
      <c r="C151" s="196" t="s">
        <v>350</v>
      </c>
      <c r="D151" s="214">
        <v>22603490</v>
      </c>
      <c r="E151" s="214">
        <v>25478280</v>
      </c>
      <c r="F151" s="214">
        <v>22935300</v>
      </c>
      <c r="G151" s="207"/>
      <c r="H151" s="193" t="s">
        <v>407</v>
      </c>
    </row>
    <row r="152" spans="3:8" ht="12">
      <c r="C152" s="216" t="s">
        <v>408</v>
      </c>
      <c r="D152" s="217">
        <v>22603</v>
      </c>
      <c r="E152" s="217">
        <v>25478</v>
      </c>
      <c r="F152" s="217">
        <v>22935</v>
      </c>
      <c r="G152" s="207"/>
      <c r="H152" s="193" t="s">
        <v>407</v>
      </c>
    </row>
    <row r="153" spans="1:6" ht="12.75" thickBot="1">
      <c r="A153" s="196"/>
      <c r="C153" s="196" t="s">
        <v>452</v>
      </c>
      <c r="D153" s="218">
        <v>20.77</v>
      </c>
      <c r="E153" s="218">
        <v>20.77</v>
      </c>
      <c r="F153" s="218">
        <v>20.77</v>
      </c>
    </row>
    <row r="154" spans="1:11" ht="12">
      <c r="A154" s="196"/>
      <c r="D154" s="216"/>
      <c r="E154" s="216"/>
      <c r="F154" s="216"/>
      <c r="K154" s="219"/>
    </row>
    <row r="155" spans="1:7" ht="12">
      <c r="A155" s="220"/>
      <c r="B155" s="191" t="s">
        <v>584</v>
      </c>
      <c r="C155" s="210"/>
      <c r="D155" s="216">
        <f>D147</f>
        <v>776938</v>
      </c>
      <c r="E155" s="216">
        <v>885817</v>
      </c>
      <c r="F155" s="221">
        <f>F147</f>
        <v>784257.5</v>
      </c>
      <c r="G155" s="222"/>
    </row>
    <row r="156" spans="1:7" ht="12">
      <c r="A156" s="196"/>
      <c r="C156" s="210"/>
      <c r="D156" s="223"/>
      <c r="E156" s="223"/>
      <c r="F156" s="223"/>
      <c r="G156" s="197"/>
    </row>
    <row r="157" spans="1:7" ht="12">
      <c r="A157" s="220"/>
      <c r="C157" s="210"/>
      <c r="D157" s="210"/>
      <c r="E157" s="210"/>
      <c r="F157" s="210"/>
      <c r="G157" s="197"/>
    </row>
    <row r="158" spans="2:7" s="192" customFormat="1" ht="12.75" customHeight="1">
      <c r="B158" s="224"/>
      <c r="C158" s="195"/>
      <c r="D158" s="195"/>
      <c r="E158" s="195"/>
      <c r="F158" s="195"/>
      <c r="G158" s="195"/>
    </row>
    <row r="159" spans="2:8" ht="18">
      <c r="B159" s="194" t="s">
        <v>340</v>
      </c>
      <c r="C159" s="195"/>
      <c r="D159" s="195"/>
      <c r="E159" s="195"/>
      <c r="F159" s="195"/>
      <c r="G159" s="195"/>
      <c r="H159" s="195"/>
    </row>
    <row r="160" spans="1:7" s="227" customFormat="1" ht="12">
      <c r="A160" s="299"/>
      <c r="B160" s="299"/>
      <c r="C160" s="299"/>
      <c r="D160" s="225"/>
      <c r="E160" s="225"/>
      <c r="F160" s="225"/>
      <c r="G160" s="226"/>
    </row>
    <row r="161" spans="3:8" s="227" customFormat="1" ht="13.5" thickBot="1">
      <c r="C161" s="228"/>
      <c r="D161" s="198" t="s">
        <v>579</v>
      </c>
      <c r="E161" s="198"/>
      <c r="F161" s="198" t="s">
        <v>578</v>
      </c>
      <c r="G161" s="199" t="s">
        <v>451</v>
      </c>
      <c r="H161" s="200"/>
    </row>
    <row r="162" spans="1:8" ht="14.25" thickBot="1">
      <c r="A162" s="191" t="s">
        <v>40</v>
      </c>
      <c r="B162" s="191" t="s">
        <v>41</v>
      </c>
      <c r="D162" s="201" t="s">
        <v>514</v>
      </c>
      <c r="E162" s="201" t="s">
        <v>514</v>
      </c>
      <c r="F162" s="201">
        <v>2018</v>
      </c>
      <c r="G162" s="202" t="s">
        <v>505</v>
      </c>
      <c r="H162" s="203" t="s">
        <v>478</v>
      </c>
    </row>
    <row r="163" spans="3:7" s="227" customFormat="1" ht="9.75">
      <c r="C163" s="228"/>
      <c r="D163" s="229"/>
      <c r="E163" s="230"/>
      <c r="F163" s="229"/>
      <c r="G163" s="226"/>
    </row>
    <row r="164" spans="1:8" ht="12">
      <c r="A164" s="191" t="s">
        <v>42</v>
      </c>
      <c r="B164" s="191" t="s">
        <v>43</v>
      </c>
      <c r="D164" s="231">
        <v>5400</v>
      </c>
      <c r="E164" s="232">
        <v>3500</v>
      </c>
      <c r="F164" s="231">
        <v>5400</v>
      </c>
      <c r="G164" s="207">
        <f>D164-F164</f>
        <v>0</v>
      </c>
      <c r="H164" s="193" t="s">
        <v>407</v>
      </c>
    </row>
    <row r="165" spans="1:8" ht="12">
      <c r="A165" s="191" t="s">
        <v>403</v>
      </c>
      <c r="B165" s="191" t="s">
        <v>74</v>
      </c>
      <c r="D165" s="231">
        <v>1020</v>
      </c>
      <c r="E165" s="232">
        <v>595</v>
      </c>
      <c r="F165" s="231">
        <v>1020</v>
      </c>
      <c r="G165" s="207">
        <f aca="true" t="shared" si="0" ref="G165:G201">D165-F165</f>
        <v>0</v>
      </c>
      <c r="H165" s="193" t="s">
        <v>407</v>
      </c>
    </row>
    <row r="166" spans="1:8" ht="12">
      <c r="A166" s="191" t="s">
        <v>44</v>
      </c>
      <c r="B166" s="191" t="s">
        <v>45</v>
      </c>
      <c r="D166" s="231">
        <v>1020</v>
      </c>
      <c r="E166" s="232">
        <v>680</v>
      </c>
      <c r="F166" s="231">
        <v>1020</v>
      </c>
      <c r="G166" s="207">
        <f t="shared" si="0"/>
        <v>0</v>
      </c>
      <c r="H166" s="193" t="s">
        <v>407</v>
      </c>
    </row>
    <row r="167" spans="1:8" ht="12">
      <c r="A167" s="191" t="s">
        <v>400</v>
      </c>
      <c r="B167" s="191" t="s">
        <v>346</v>
      </c>
      <c r="C167" s="233"/>
      <c r="D167" s="234">
        <f>37941+1125+1125</f>
        <v>40191</v>
      </c>
      <c r="E167" s="235">
        <v>27692</v>
      </c>
      <c r="F167" s="234">
        <v>12240</v>
      </c>
      <c r="G167" s="207">
        <f t="shared" si="0"/>
        <v>27951</v>
      </c>
      <c r="H167" s="193" t="s">
        <v>407</v>
      </c>
    </row>
    <row r="168" spans="2:8" ht="12">
      <c r="B168" s="4" t="s">
        <v>642</v>
      </c>
      <c r="C168" s="233"/>
      <c r="D168" s="234"/>
      <c r="E168" s="235"/>
      <c r="F168" s="234">
        <v>15800</v>
      </c>
      <c r="G168" s="207"/>
      <c r="H168" s="193"/>
    </row>
    <row r="169" spans="1:8" ht="12">
      <c r="A169" s="191" t="s">
        <v>468</v>
      </c>
      <c r="B169" s="191" t="s">
        <v>469</v>
      </c>
      <c r="C169" s="233"/>
      <c r="D169" s="234">
        <v>115</v>
      </c>
      <c r="E169" s="235">
        <v>0</v>
      </c>
      <c r="F169" s="234">
        <v>115</v>
      </c>
      <c r="G169" s="207">
        <f t="shared" si="0"/>
        <v>0</v>
      </c>
      <c r="H169" s="193" t="s">
        <v>407</v>
      </c>
    </row>
    <row r="170" spans="1:8" ht="12">
      <c r="A170" s="191" t="s">
        <v>47</v>
      </c>
      <c r="B170" s="191" t="s">
        <v>75</v>
      </c>
      <c r="C170" s="233"/>
      <c r="D170" s="208">
        <v>1999</v>
      </c>
      <c r="E170" s="236">
        <v>0</v>
      </c>
      <c r="F170" s="208">
        <v>1999</v>
      </c>
      <c r="G170" s="207">
        <f t="shared" si="0"/>
        <v>0</v>
      </c>
      <c r="H170" s="193" t="s">
        <v>407</v>
      </c>
    </row>
    <row r="171" spans="1:8" ht="12">
      <c r="A171" s="191" t="s">
        <v>48</v>
      </c>
      <c r="B171" s="191" t="s">
        <v>49</v>
      </c>
      <c r="D171" s="234">
        <f>ROUND((D164+D165+D166+D167)*0.0765,0)</f>
        <v>3644</v>
      </c>
      <c r="E171" s="235">
        <v>0</v>
      </c>
      <c r="F171" s="234">
        <v>3644</v>
      </c>
      <c r="G171" s="207">
        <f t="shared" si="0"/>
        <v>0</v>
      </c>
      <c r="H171" s="193" t="s">
        <v>407</v>
      </c>
    </row>
    <row r="172" spans="1:8" ht="12">
      <c r="A172" s="191" t="s">
        <v>401</v>
      </c>
      <c r="B172" s="191" t="s">
        <v>162</v>
      </c>
      <c r="D172" s="208">
        <f>9500*0.0285</f>
        <v>270.75</v>
      </c>
      <c r="E172" s="236">
        <v>0</v>
      </c>
      <c r="F172" s="208">
        <v>271</v>
      </c>
      <c r="G172" s="207">
        <f t="shared" si="0"/>
        <v>-0.25</v>
      </c>
      <c r="H172" s="193" t="s">
        <v>407</v>
      </c>
    </row>
    <row r="173" spans="1:8" ht="12">
      <c r="A173" s="191" t="s">
        <v>50</v>
      </c>
      <c r="B173" s="191" t="s">
        <v>51</v>
      </c>
      <c r="D173" s="208">
        <v>1000</v>
      </c>
      <c r="E173" s="236">
        <v>1893</v>
      </c>
      <c r="F173" s="208">
        <v>3000</v>
      </c>
      <c r="G173" s="207">
        <f t="shared" si="0"/>
        <v>-2000</v>
      </c>
      <c r="H173" s="193" t="s">
        <v>407</v>
      </c>
    </row>
    <row r="174" spans="1:8" ht="12">
      <c r="A174" s="191" t="s">
        <v>52</v>
      </c>
      <c r="B174" s="191" t="s">
        <v>53</v>
      </c>
      <c r="D174" s="208">
        <v>1000</v>
      </c>
      <c r="E174" s="236">
        <v>0</v>
      </c>
      <c r="F174" s="208">
        <v>1000</v>
      </c>
      <c r="G174" s="207">
        <f t="shared" si="0"/>
        <v>0</v>
      </c>
      <c r="H174" s="193" t="s">
        <v>407</v>
      </c>
    </row>
    <row r="175" spans="1:8" ht="12">
      <c r="A175" s="191" t="s">
        <v>54</v>
      </c>
      <c r="B175" s="191" t="s">
        <v>55</v>
      </c>
      <c r="D175" s="208">
        <v>6000</v>
      </c>
      <c r="E175" s="236">
        <v>8650</v>
      </c>
      <c r="F175" s="208">
        <v>6900</v>
      </c>
      <c r="G175" s="207">
        <f t="shared" si="0"/>
        <v>-900</v>
      </c>
      <c r="H175" s="193" t="s">
        <v>407</v>
      </c>
    </row>
    <row r="176" spans="1:8" ht="12">
      <c r="A176" s="191" t="s">
        <v>402</v>
      </c>
      <c r="B176" s="191" t="s">
        <v>79</v>
      </c>
      <c r="D176" s="208">
        <v>295</v>
      </c>
      <c r="E176" s="236">
        <v>0</v>
      </c>
      <c r="F176" s="208">
        <v>0</v>
      </c>
      <c r="G176" s="207">
        <f t="shared" si="0"/>
        <v>295</v>
      </c>
      <c r="H176" s="193" t="s">
        <v>407</v>
      </c>
    </row>
    <row r="177" spans="1:8" ht="12">
      <c r="A177" s="191" t="s">
        <v>56</v>
      </c>
      <c r="B177" s="191" t="s">
        <v>57</v>
      </c>
      <c r="D177" s="208">
        <v>2000</v>
      </c>
      <c r="E177" s="236">
        <v>3913</v>
      </c>
      <c r="F177" s="208">
        <v>7000</v>
      </c>
      <c r="G177" s="207">
        <f t="shared" si="0"/>
        <v>-5000</v>
      </c>
      <c r="H177" s="193" t="s">
        <v>407</v>
      </c>
    </row>
    <row r="178" spans="1:8" ht="12">
      <c r="A178" s="191" t="s">
        <v>58</v>
      </c>
      <c r="B178" s="191" t="s">
        <v>59</v>
      </c>
      <c r="D178" s="208">
        <v>1100</v>
      </c>
      <c r="E178" s="236">
        <v>450</v>
      </c>
      <c r="F178" s="208">
        <v>1100</v>
      </c>
      <c r="G178" s="207">
        <f t="shared" si="0"/>
        <v>0</v>
      </c>
      <c r="H178" s="193" t="s">
        <v>407</v>
      </c>
    </row>
    <row r="179" spans="1:8" ht="12">
      <c r="A179" s="191" t="s">
        <v>485</v>
      </c>
      <c r="B179" s="191" t="s">
        <v>487</v>
      </c>
      <c r="D179" s="208">
        <f>2280-570</f>
        <v>1710</v>
      </c>
      <c r="E179" s="236">
        <v>0</v>
      </c>
      <c r="F179" s="208">
        <v>1710</v>
      </c>
      <c r="G179" s="207">
        <f t="shared" si="0"/>
        <v>0</v>
      </c>
      <c r="H179" s="193" t="s">
        <v>407</v>
      </c>
    </row>
    <row r="180" spans="1:8" ht="12">
      <c r="A180" s="191" t="s">
        <v>60</v>
      </c>
      <c r="B180" s="191" t="s">
        <v>61</v>
      </c>
      <c r="D180" s="208">
        <v>1000</v>
      </c>
      <c r="E180" s="236">
        <v>340</v>
      </c>
      <c r="F180" s="208">
        <v>1000</v>
      </c>
      <c r="G180" s="207">
        <f t="shared" si="0"/>
        <v>0</v>
      </c>
      <c r="H180" s="193" t="s">
        <v>407</v>
      </c>
    </row>
    <row r="181" spans="1:8" ht="12">
      <c r="A181" s="191" t="s">
        <v>62</v>
      </c>
      <c r="B181" s="191" t="s">
        <v>63</v>
      </c>
      <c r="D181" s="208">
        <v>1700</v>
      </c>
      <c r="E181" s="236">
        <v>1785</v>
      </c>
      <c r="F181" s="208">
        <v>1875</v>
      </c>
      <c r="G181" s="207">
        <f t="shared" si="0"/>
        <v>-175</v>
      </c>
      <c r="H181" s="193" t="s">
        <v>407</v>
      </c>
    </row>
    <row r="182" spans="1:8" ht="12">
      <c r="A182" s="191" t="s">
        <v>64</v>
      </c>
      <c r="B182" s="191" t="s">
        <v>65</v>
      </c>
      <c r="D182" s="208">
        <v>3500</v>
      </c>
      <c r="E182" s="236">
        <v>4562</v>
      </c>
      <c r="F182" s="208">
        <v>5000</v>
      </c>
      <c r="G182" s="207">
        <f t="shared" si="0"/>
        <v>-1500</v>
      </c>
      <c r="H182" s="193" t="s">
        <v>407</v>
      </c>
    </row>
    <row r="183" spans="1:8" ht="12">
      <c r="A183" s="191" t="s">
        <v>66</v>
      </c>
      <c r="B183" s="191" t="s">
        <v>67</v>
      </c>
      <c r="D183" s="208">
        <v>1200</v>
      </c>
      <c r="E183" s="236">
        <v>0</v>
      </c>
      <c r="F183" s="208">
        <v>1200</v>
      </c>
      <c r="G183" s="207">
        <f t="shared" si="0"/>
        <v>0</v>
      </c>
      <c r="H183" s="193" t="s">
        <v>407</v>
      </c>
    </row>
    <row r="184" spans="1:8" ht="12">
      <c r="A184" s="191" t="s">
        <v>68</v>
      </c>
      <c r="B184" s="191" t="s">
        <v>69</v>
      </c>
      <c r="D184" s="214">
        <v>1600</v>
      </c>
      <c r="E184" s="237">
        <v>1467</v>
      </c>
      <c r="F184" s="214">
        <v>1600</v>
      </c>
      <c r="G184" s="207">
        <f t="shared" si="0"/>
        <v>0</v>
      </c>
      <c r="H184" s="193" t="s">
        <v>407</v>
      </c>
    </row>
    <row r="185" spans="1:8" ht="12">
      <c r="A185" s="191" t="s">
        <v>70</v>
      </c>
      <c r="B185" s="191" t="s">
        <v>71</v>
      </c>
      <c r="D185" s="208">
        <v>500</v>
      </c>
      <c r="E185" s="236">
        <v>0</v>
      </c>
      <c r="F185" s="208">
        <v>500</v>
      </c>
      <c r="G185" s="207">
        <f t="shared" si="0"/>
        <v>0</v>
      </c>
      <c r="H185" s="193" t="s">
        <v>407</v>
      </c>
    </row>
    <row r="186" spans="1:8" ht="12">
      <c r="A186" s="191" t="s">
        <v>72</v>
      </c>
      <c r="B186" s="191" t="s">
        <v>73</v>
      </c>
      <c r="D186" s="208">
        <v>1000</v>
      </c>
      <c r="E186" s="236">
        <v>1000</v>
      </c>
      <c r="F186" s="208">
        <v>1000</v>
      </c>
      <c r="G186" s="207">
        <f t="shared" si="0"/>
        <v>0</v>
      </c>
      <c r="H186" s="193" t="s">
        <v>407</v>
      </c>
    </row>
    <row r="187" spans="1:8" ht="13.5">
      <c r="A187" s="191" t="s">
        <v>422</v>
      </c>
      <c r="B187" s="191" t="s">
        <v>423</v>
      </c>
      <c r="D187" s="212">
        <v>2160</v>
      </c>
      <c r="E187" s="238">
        <v>2160</v>
      </c>
      <c r="F187" s="212">
        <v>0</v>
      </c>
      <c r="G187" s="239">
        <f t="shared" si="0"/>
        <v>2160</v>
      </c>
      <c r="H187" s="193" t="s">
        <v>407</v>
      </c>
    </row>
    <row r="188" spans="4:8" ht="12">
      <c r="D188" s="214">
        <f>SUM(D164:D187)</f>
        <v>79424.75</v>
      </c>
      <c r="E188" s="214">
        <f>SUM(E164:E187)</f>
        <v>58687</v>
      </c>
      <c r="F188" s="214">
        <f>SUM(F164:F187)</f>
        <v>74394</v>
      </c>
      <c r="G188" s="207">
        <f t="shared" si="0"/>
        <v>5030.75</v>
      </c>
      <c r="H188" s="193" t="s">
        <v>407</v>
      </c>
    </row>
    <row r="189" spans="1:7" ht="12">
      <c r="A189" s="191" t="s">
        <v>80</v>
      </c>
      <c r="B189" s="191" t="s">
        <v>81</v>
      </c>
      <c r="D189" s="214"/>
      <c r="E189" s="214"/>
      <c r="F189" s="214"/>
      <c r="G189" s="207">
        <f t="shared" si="0"/>
        <v>0</v>
      </c>
    </row>
    <row r="190" spans="3:7" s="227" customFormat="1" ht="12">
      <c r="C190" s="228"/>
      <c r="D190" s="240"/>
      <c r="E190" s="240"/>
      <c r="F190" s="240"/>
      <c r="G190" s="207">
        <f t="shared" si="0"/>
        <v>0</v>
      </c>
    </row>
    <row r="191" spans="1:8" ht="12">
      <c r="A191" s="191" t="s">
        <v>82</v>
      </c>
      <c r="B191" s="191" t="s">
        <v>83</v>
      </c>
      <c r="D191" s="208">
        <v>16132</v>
      </c>
      <c r="E191" s="208">
        <v>10343</v>
      </c>
      <c r="F191" s="208">
        <v>16132</v>
      </c>
      <c r="G191" s="207">
        <f t="shared" si="0"/>
        <v>0</v>
      </c>
      <c r="H191" s="193" t="s">
        <v>407</v>
      </c>
    </row>
    <row r="192" spans="1:8" ht="12">
      <c r="A192" s="191" t="s">
        <v>84</v>
      </c>
      <c r="B192" s="191" t="s">
        <v>49</v>
      </c>
      <c r="D192" s="208">
        <f>ROUND(D191*0.0765,0)</f>
        <v>1234</v>
      </c>
      <c r="E192" s="208">
        <v>0</v>
      </c>
      <c r="F192" s="208">
        <v>1234</v>
      </c>
      <c r="G192" s="207">
        <f t="shared" si="0"/>
        <v>0</v>
      </c>
      <c r="H192" s="193" t="s">
        <v>407</v>
      </c>
    </row>
    <row r="193" spans="1:8" ht="12">
      <c r="A193" s="191" t="s">
        <v>85</v>
      </c>
      <c r="B193" s="191" t="s">
        <v>51</v>
      </c>
      <c r="D193" s="208">
        <v>1750</v>
      </c>
      <c r="E193" s="208">
        <v>619</v>
      </c>
      <c r="F193" s="208">
        <v>1750</v>
      </c>
      <c r="G193" s="207">
        <f t="shared" si="0"/>
        <v>0</v>
      </c>
      <c r="H193" s="193" t="s">
        <v>407</v>
      </c>
    </row>
    <row r="194" spans="1:8" ht="13.5">
      <c r="A194" s="191" t="s">
        <v>86</v>
      </c>
      <c r="B194" s="191" t="s">
        <v>87</v>
      </c>
      <c r="D194" s="212">
        <v>150</v>
      </c>
      <c r="E194" s="212">
        <v>0</v>
      </c>
      <c r="F194" s="212">
        <v>150</v>
      </c>
      <c r="G194" s="239">
        <f t="shared" si="0"/>
        <v>0</v>
      </c>
      <c r="H194" s="193" t="s">
        <v>407</v>
      </c>
    </row>
    <row r="195" spans="4:8" ht="12">
      <c r="D195" s="214">
        <f>SUM(D191:D194)</f>
        <v>19266</v>
      </c>
      <c r="E195" s="214">
        <f>SUM(E191:E194)</f>
        <v>10962</v>
      </c>
      <c r="F195" s="214">
        <f>SUM(F191:F194)</f>
        <v>19266</v>
      </c>
      <c r="G195" s="207">
        <f t="shared" si="0"/>
        <v>0</v>
      </c>
      <c r="H195" s="193" t="s">
        <v>407</v>
      </c>
    </row>
    <row r="196" spans="1:7" ht="12">
      <c r="A196" s="191" t="s">
        <v>88</v>
      </c>
      <c r="B196" s="191" t="s">
        <v>89</v>
      </c>
      <c r="D196" s="214"/>
      <c r="E196" s="214"/>
      <c r="F196" s="214"/>
      <c r="G196" s="207">
        <f t="shared" si="0"/>
        <v>0</v>
      </c>
    </row>
    <row r="197" spans="3:7" s="227" customFormat="1" ht="12">
      <c r="C197" s="228"/>
      <c r="D197" s="240"/>
      <c r="E197" s="240"/>
      <c r="F197" s="240"/>
      <c r="G197" s="207">
        <f t="shared" si="0"/>
        <v>0</v>
      </c>
    </row>
    <row r="198" spans="1:8" ht="13.5">
      <c r="A198" s="191" t="s">
        <v>90</v>
      </c>
      <c r="B198" s="191" t="s">
        <v>91</v>
      </c>
      <c r="D198" s="212">
        <v>12000</v>
      </c>
      <c r="E198" s="212">
        <v>8924</v>
      </c>
      <c r="F198" s="212">
        <v>14000</v>
      </c>
      <c r="G198" s="239">
        <f t="shared" si="0"/>
        <v>-2000</v>
      </c>
      <c r="H198" s="193" t="s">
        <v>407</v>
      </c>
    </row>
    <row r="199" spans="4:8" ht="12">
      <c r="D199" s="214">
        <f>SUM(D198:D198)</f>
        <v>12000</v>
      </c>
      <c r="E199" s="214">
        <f>SUM(E198:E198)</f>
        <v>8924</v>
      </c>
      <c r="F199" s="214">
        <f>SUM(F198)</f>
        <v>14000</v>
      </c>
      <c r="G199" s="207">
        <f t="shared" si="0"/>
        <v>-2000</v>
      </c>
      <c r="H199" s="193" t="s">
        <v>407</v>
      </c>
    </row>
    <row r="200" spans="4:7" ht="12">
      <c r="D200" s="214"/>
      <c r="E200" s="214"/>
      <c r="F200" s="214"/>
      <c r="G200" s="207">
        <f t="shared" si="0"/>
        <v>0</v>
      </c>
    </row>
    <row r="201" spans="2:8" ht="12.75" thickBot="1">
      <c r="B201" s="191" t="s">
        <v>92</v>
      </c>
      <c r="D201" s="241">
        <f>D188+D195+D199</f>
        <v>110690.75</v>
      </c>
      <c r="E201" s="241">
        <f>E188+E195+E199</f>
        <v>78573</v>
      </c>
      <c r="F201" s="241">
        <f>F188+F195+F199</f>
        <v>107660</v>
      </c>
      <c r="G201" s="207">
        <f t="shared" si="0"/>
        <v>3030.75</v>
      </c>
      <c r="H201" s="193" t="s">
        <v>407</v>
      </c>
    </row>
    <row r="202" spans="4:8" ht="12">
      <c r="D202" s="242"/>
      <c r="E202" s="242"/>
      <c r="F202" s="242"/>
      <c r="G202" s="207"/>
      <c r="H202" s="193"/>
    </row>
    <row r="203" spans="3:8" ht="12">
      <c r="C203" s="210"/>
      <c r="D203" s="210"/>
      <c r="E203" s="210"/>
      <c r="F203" s="210"/>
      <c r="G203" s="243"/>
      <c r="H203" s="193"/>
    </row>
    <row r="204" spans="3:8" ht="12">
      <c r="C204" s="210"/>
      <c r="D204" s="210"/>
      <c r="E204" s="210"/>
      <c r="F204" s="210"/>
      <c r="G204" s="243"/>
      <c r="H204" s="193"/>
    </row>
    <row r="205" spans="4:8" ht="12">
      <c r="D205" s="244"/>
      <c r="E205" s="244"/>
      <c r="F205" s="244"/>
      <c r="G205" s="207"/>
      <c r="H205" s="196">
        <v>3</v>
      </c>
    </row>
    <row r="206" spans="2:8" ht="18">
      <c r="B206" s="194" t="s">
        <v>340</v>
      </c>
      <c r="C206" s="195"/>
      <c r="D206" s="195"/>
      <c r="E206" s="195"/>
      <c r="F206" s="195"/>
      <c r="G206" s="195"/>
      <c r="H206" s="195"/>
    </row>
    <row r="208" spans="4:8" ht="13.5" thickBot="1">
      <c r="D208" s="198" t="s">
        <v>579</v>
      </c>
      <c r="E208" s="198"/>
      <c r="F208" s="198" t="s">
        <v>578</v>
      </c>
      <c r="G208" s="199" t="s">
        <v>451</v>
      </c>
      <c r="H208" s="200"/>
    </row>
    <row r="209" spans="1:8" ht="13.5">
      <c r="A209" s="191" t="s">
        <v>93</v>
      </c>
      <c r="B209" s="191" t="s">
        <v>94</v>
      </c>
      <c r="D209" s="201" t="s">
        <v>514</v>
      </c>
      <c r="E209" s="201" t="s">
        <v>514</v>
      </c>
      <c r="F209" s="201">
        <v>2018</v>
      </c>
      <c r="G209" s="202" t="s">
        <v>505</v>
      </c>
      <c r="H209" s="203" t="s">
        <v>478</v>
      </c>
    </row>
    <row r="210" spans="4:6" ht="12">
      <c r="D210" s="245"/>
      <c r="E210" s="245"/>
      <c r="F210" s="245"/>
    </row>
    <row r="211" spans="1:8" ht="12">
      <c r="A211" s="191" t="s">
        <v>95</v>
      </c>
      <c r="B211" s="191" t="s">
        <v>450</v>
      </c>
      <c r="D211" s="208">
        <v>10050</v>
      </c>
      <c r="E211" s="208">
        <v>11175</v>
      </c>
      <c r="F211" s="208">
        <v>13000</v>
      </c>
      <c r="G211" s="207">
        <f>D211-F211</f>
        <v>-2950</v>
      </c>
      <c r="H211" s="193" t="s">
        <v>407</v>
      </c>
    </row>
    <row r="212" spans="1:8" ht="12">
      <c r="A212" s="191" t="s">
        <v>97</v>
      </c>
      <c r="B212" s="191" t="s">
        <v>49</v>
      </c>
      <c r="D212" s="208">
        <f>ROUND(D211*0.0765,0)</f>
        <v>769</v>
      </c>
      <c r="E212" s="208">
        <v>0</v>
      </c>
      <c r="F212" s="208">
        <v>806</v>
      </c>
      <c r="G212" s="207">
        <f aca="true" t="shared" si="1" ref="G212:G226">D212-F212</f>
        <v>-37</v>
      </c>
      <c r="H212" s="193" t="s">
        <v>407</v>
      </c>
    </row>
    <row r="213" spans="1:8" ht="12">
      <c r="A213" s="191" t="s">
        <v>98</v>
      </c>
      <c r="B213" s="191" t="s">
        <v>162</v>
      </c>
      <c r="D213" s="208">
        <f>D211*0.0285</f>
        <v>286.425</v>
      </c>
      <c r="E213" s="208">
        <v>0</v>
      </c>
      <c r="F213" s="208">
        <v>117</v>
      </c>
      <c r="G213" s="207">
        <f t="shared" si="1"/>
        <v>169.425</v>
      </c>
      <c r="H213" s="193" t="s">
        <v>407</v>
      </c>
    </row>
    <row r="214" spans="1:8" ht="12">
      <c r="A214" s="191" t="s">
        <v>100</v>
      </c>
      <c r="B214" s="191" t="s">
        <v>101</v>
      </c>
      <c r="D214" s="208">
        <v>600</v>
      </c>
      <c r="E214" s="208">
        <v>657</v>
      </c>
      <c r="F214" s="208">
        <v>750</v>
      </c>
      <c r="G214" s="207">
        <f t="shared" si="1"/>
        <v>-150</v>
      </c>
      <c r="H214" s="193" t="s">
        <v>407</v>
      </c>
    </row>
    <row r="215" spans="1:8" ht="12">
      <c r="A215" s="191" t="s">
        <v>102</v>
      </c>
      <c r="B215" s="191" t="s">
        <v>103</v>
      </c>
      <c r="D215" s="208">
        <v>250</v>
      </c>
      <c r="E215" s="208">
        <v>155</v>
      </c>
      <c r="F215" s="208">
        <v>200</v>
      </c>
      <c r="G215" s="207">
        <f t="shared" si="1"/>
        <v>50</v>
      </c>
      <c r="H215" s="193" t="s">
        <v>407</v>
      </c>
    </row>
    <row r="216" spans="1:8" ht="12">
      <c r="A216" s="191" t="s">
        <v>398</v>
      </c>
      <c r="B216" s="191" t="s">
        <v>139</v>
      </c>
      <c r="D216" s="208">
        <v>1400</v>
      </c>
      <c r="E216" s="208">
        <v>574</v>
      </c>
      <c r="F216" s="208">
        <v>1000</v>
      </c>
      <c r="G216" s="207">
        <f t="shared" si="1"/>
        <v>400</v>
      </c>
      <c r="H216" s="193" t="s">
        <v>407</v>
      </c>
    </row>
    <row r="217" spans="1:8" ht="12">
      <c r="A217" s="191" t="s">
        <v>105</v>
      </c>
      <c r="B217" s="191" t="s">
        <v>106</v>
      </c>
      <c r="D217" s="208">
        <v>10750</v>
      </c>
      <c r="E217" s="208">
        <v>14953</v>
      </c>
      <c r="F217" s="208">
        <v>15000</v>
      </c>
      <c r="G217" s="207">
        <f t="shared" si="1"/>
        <v>-4250</v>
      </c>
      <c r="H217" s="193" t="s">
        <v>407</v>
      </c>
    </row>
    <row r="218" spans="1:8" ht="12">
      <c r="A218" s="191" t="s">
        <v>107</v>
      </c>
      <c r="B218" s="191" t="s">
        <v>108</v>
      </c>
      <c r="D218" s="208">
        <v>10950</v>
      </c>
      <c r="E218" s="208">
        <v>5872</v>
      </c>
      <c r="F218" s="208">
        <v>10000</v>
      </c>
      <c r="G218" s="207">
        <f t="shared" si="1"/>
        <v>950</v>
      </c>
      <c r="H218" s="193" t="s">
        <v>407</v>
      </c>
    </row>
    <row r="219" spans="1:8" ht="12">
      <c r="A219" s="191" t="s">
        <v>109</v>
      </c>
      <c r="B219" s="191" t="s">
        <v>110</v>
      </c>
      <c r="D219" s="208">
        <v>1000</v>
      </c>
      <c r="E219" s="208">
        <v>3959</v>
      </c>
      <c r="F219" s="208">
        <v>1000</v>
      </c>
      <c r="G219" s="207">
        <f t="shared" si="1"/>
        <v>0</v>
      </c>
      <c r="H219" s="193" t="s">
        <v>407</v>
      </c>
    </row>
    <row r="220" spans="1:8" ht="12">
      <c r="A220" s="191" t="s">
        <v>111</v>
      </c>
      <c r="B220" s="191" t="s">
        <v>112</v>
      </c>
      <c r="D220" s="208">
        <v>1237</v>
      </c>
      <c r="E220" s="208">
        <v>2242</v>
      </c>
      <c r="F220" s="208">
        <v>2000</v>
      </c>
      <c r="G220" s="207">
        <f t="shared" si="1"/>
        <v>-763</v>
      </c>
      <c r="H220" s="193" t="s">
        <v>407</v>
      </c>
    </row>
    <row r="221" spans="1:8" ht="12">
      <c r="A221" s="191" t="s">
        <v>113</v>
      </c>
      <c r="B221" s="191" t="s">
        <v>114</v>
      </c>
      <c r="D221" s="208">
        <v>8487</v>
      </c>
      <c r="E221" s="208">
        <v>5815</v>
      </c>
      <c r="F221" s="208">
        <v>6500</v>
      </c>
      <c r="G221" s="207">
        <f t="shared" si="1"/>
        <v>1987</v>
      </c>
      <c r="H221" s="193" t="s">
        <v>407</v>
      </c>
    </row>
    <row r="222" spans="1:8" ht="12">
      <c r="A222" s="191" t="s">
        <v>463</v>
      </c>
      <c r="B222" s="191" t="s">
        <v>410</v>
      </c>
      <c r="D222" s="208">
        <v>1260</v>
      </c>
      <c r="E222" s="208">
        <v>675</v>
      </c>
      <c r="F222" s="208">
        <v>1200</v>
      </c>
      <c r="G222" s="207">
        <f t="shared" si="1"/>
        <v>60</v>
      </c>
      <c r="H222" s="193" t="s">
        <v>407</v>
      </c>
    </row>
    <row r="223" spans="1:8" ht="12">
      <c r="A223" s="191" t="s">
        <v>115</v>
      </c>
      <c r="B223" s="191" t="s">
        <v>116</v>
      </c>
      <c r="D223" s="208">
        <v>1000</v>
      </c>
      <c r="E223" s="208">
        <v>1125</v>
      </c>
      <c r="F223" s="208">
        <v>1000</v>
      </c>
      <c r="G223" s="207">
        <f t="shared" si="1"/>
        <v>0</v>
      </c>
      <c r="H223" s="193" t="s">
        <v>407</v>
      </c>
    </row>
    <row r="224" spans="1:8" ht="12">
      <c r="A224" s="191" t="s">
        <v>117</v>
      </c>
      <c r="B224" s="191" t="s">
        <v>118</v>
      </c>
      <c r="D224" s="208">
        <v>10800</v>
      </c>
      <c r="E224" s="208">
        <v>0</v>
      </c>
      <c r="F224" s="208">
        <v>10800</v>
      </c>
      <c r="G224" s="207">
        <f t="shared" si="1"/>
        <v>0</v>
      </c>
      <c r="H224" s="193" t="s">
        <v>407</v>
      </c>
    </row>
    <row r="225" spans="1:8" ht="13.5">
      <c r="A225" s="191" t="s">
        <v>430</v>
      </c>
      <c r="B225" s="191" t="s">
        <v>431</v>
      </c>
      <c r="D225" s="212">
        <v>8000</v>
      </c>
      <c r="E225" s="212">
        <v>8000</v>
      </c>
      <c r="F225" s="212">
        <v>8000</v>
      </c>
      <c r="G225" s="239">
        <f t="shared" si="1"/>
        <v>0</v>
      </c>
      <c r="H225" s="193" t="s">
        <v>407</v>
      </c>
    </row>
    <row r="226" spans="2:8" ht="12.75" thickBot="1">
      <c r="B226" s="191" t="s">
        <v>329</v>
      </c>
      <c r="D226" s="241">
        <f>SUM(D211:D225)</f>
        <v>66839.425</v>
      </c>
      <c r="E226" s="241">
        <f>SUM(E211:E225)</f>
        <v>55202</v>
      </c>
      <c r="F226" s="241">
        <f>SUM(F211:F225)</f>
        <v>71373</v>
      </c>
      <c r="G226" s="207">
        <f t="shared" si="1"/>
        <v>-4533.574999999997</v>
      </c>
      <c r="H226" s="193" t="s">
        <v>407</v>
      </c>
    </row>
    <row r="227" spans="4:8" ht="12">
      <c r="D227" s="242"/>
      <c r="E227" s="242"/>
      <c r="F227" s="242"/>
      <c r="G227" s="207"/>
      <c r="H227" s="193"/>
    </row>
    <row r="228" spans="4:8" ht="12">
      <c r="D228" s="242"/>
      <c r="E228" s="242"/>
      <c r="F228" s="242"/>
      <c r="G228" s="207"/>
      <c r="H228" s="193"/>
    </row>
    <row r="229" spans="4:8" ht="12">
      <c r="D229" s="210"/>
      <c r="E229" s="210"/>
      <c r="F229" s="210"/>
      <c r="G229" s="243"/>
      <c r="H229" s="193"/>
    </row>
    <row r="230" spans="4:8" ht="12">
      <c r="D230" s="210"/>
      <c r="E230" s="210"/>
      <c r="F230" s="210"/>
      <c r="G230" s="243"/>
      <c r="H230" s="193"/>
    </row>
    <row r="231" spans="1:8" ht="12">
      <c r="A231" s="192"/>
      <c r="B231" s="192"/>
      <c r="C231" s="192"/>
      <c r="D231" s="192"/>
      <c r="E231" s="192"/>
      <c r="F231" s="192"/>
      <c r="H231" s="191">
        <v>4</v>
      </c>
    </row>
    <row r="232" spans="2:8" ht="18">
      <c r="B232" s="194" t="s">
        <v>340</v>
      </c>
      <c r="C232" s="195"/>
      <c r="D232" s="195"/>
      <c r="E232" s="195"/>
      <c r="F232" s="195"/>
      <c r="G232" s="195"/>
      <c r="H232" s="195"/>
    </row>
    <row r="233" spans="4:6" ht="12">
      <c r="D233" s="198" t="s">
        <v>579</v>
      </c>
      <c r="E233" s="198"/>
      <c r="F233" s="198" t="s">
        <v>578</v>
      </c>
    </row>
    <row r="234" spans="4:8" ht="13.5" thickBot="1">
      <c r="D234" s="198" t="s">
        <v>579</v>
      </c>
      <c r="E234" s="198"/>
      <c r="F234" s="198" t="s">
        <v>578</v>
      </c>
      <c r="G234" s="199" t="s">
        <v>451</v>
      </c>
      <c r="H234" s="200"/>
    </row>
    <row r="235" spans="1:8" ht="13.5">
      <c r="A235" s="191" t="s">
        <v>119</v>
      </c>
      <c r="B235" s="191" t="s">
        <v>331</v>
      </c>
      <c r="D235" s="201" t="s">
        <v>514</v>
      </c>
      <c r="E235" s="201" t="s">
        <v>514</v>
      </c>
      <c r="F235" s="201">
        <v>2018</v>
      </c>
      <c r="G235" s="37" t="s">
        <v>519</v>
      </c>
      <c r="H235" s="203" t="s">
        <v>478</v>
      </c>
    </row>
    <row r="236" spans="4:6" ht="12">
      <c r="D236" s="245"/>
      <c r="E236" s="245"/>
      <c r="F236" s="245"/>
    </row>
    <row r="237" spans="1:10" ht="12">
      <c r="A237" s="4" t="s">
        <v>607</v>
      </c>
      <c r="B237" s="191" t="s">
        <v>121</v>
      </c>
      <c r="C237" s="233"/>
      <c r="D237" s="208">
        <v>56242</v>
      </c>
      <c r="E237" s="208">
        <v>41100</v>
      </c>
      <c r="F237" s="208">
        <v>57942</v>
      </c>
      <c r="G237" s="207">
        <f aca="true" t="shared" si="2" ref="G237:G272">D237-F237</f>
        <v>-1700</v>
      </c>
      <c r="H237" s="193" t="s">
        <v>407</v>
      </c>
      <c r="I237" s="246"/>
      <c r="J237" s="246"/>
    </row>
    <row r="238" spans="1:10" ht="12">
      <c r="A238" s="4" t="s">
        <v>608</v>
      </c>
      <c r="B238" s="191" t="s">
        <v>345</v>
      </c>
      <c r="C238" s="233"/>
      <c r="D238" s="208">
        <v>52351</v>
      </c>
      <c r="E238" s="208">
        <v>35845</v>
      </c>
      <c r="F238" s="208">
        <v>54051</v>
      </c>
      <c r="G238" s="207">
        <f t="shared" si="2"/>
        <v>-1700</v>
      </c>
      <c r="H238" s="193" t="s">
        <v>407</v>
      </c>
      <c r="I238" s="246"/>
      <c r="J238" s="246"/>
    </row>
    <row r="239" spans="1:10" ht="12">
      <c r="A239" s="4" t="s">
        <v>609</v>
      </c>
      <c r="B239" s="191" t="s">
        <v>450</v>
      </c>
      <c r="C239" s="233"/>
      <c r="D239" s="208">
        <v>77167</v>
      </c>
      <c r="E239" s="208">
        <v>54265</v>
      </c>
      <c r="F239" s="208">
        <v>80000</v>
      </c>
      <c r="G239" s="207">
        <f t="shared" si="2"/>
        <v>-2833</v>
      </c>
      <c r="H239" s="193" t="s">
        <v>407</v>
      </c>
      <c r="J239" s="246"/>
    </row>
    <row r="240" spans="1:8" ht="12">
      <c r="A240" s="4" t="s">
        <v>615</v>
      </c>
      <c r="B240" s="191" t="s">
        <v>473</v>
      </c>
      <c r="D240" s="208">
        <v>1025</v>
      </c>
      <c r="E240" s="208">
        <v>0</v>
      </c>
      <c r="F240" s="208">
        <v>0</v>
      </c>
      <c r="G240" s="207">
        <f t="shared" si="2"/>
        <v>1025</v>
      </c>
      <c r="H240" s="193" t="s">
        <v>407</v>
      </c>
    </row>
    <row r="241" spans="1:8" ht="12">
      <c r="A241" s="4" t="s">
        <v>616</v>
      </c>
      <c r="B241" s="191" t="s">
        <v>475</v>
      </c>
      <c r="D241" s="208">
        <v>2444</v>
      </c>
      <c r="E241" s="208">
        <v>231</v>
      </c>
      <c r="F241" s="208">
        <v>0</v>
      </c>
      <c r="G241" s="207">
        <f t="shared" si="2"/>
        <v>2444</v>
      </c>
      <c r="H241" s="193" t="s">
        <v>407</v>
      </c>
    </row>
    <row r="242" spans="1:8" ht="12">
      <c r="A242" s="4" t="s">
        <v>617</v>
      </c>
      <c r="B242" s="191" t="s">
        <v>404</v>
      </c>
      <c r="D242" s="208">
        <v>5362</v>
      </c>
      <c r="E242" s="208">
        <v>3438</v>
      </c>
      <c r="F242" s="208">
        <v>6465</v>
      </c>
      <c r="G242" s="207">
        <f t="shared" si="2"/>
        <v>-1103</v>
      </c>
      <c r="H242" s="193" t="s">
        <v>407</v>
      </c>
    </row>
    <row r="243" spans="1:8" ht="12">
      <c r="A243" s="4" t="s">
        <v>618</v>
      </c>
      <c r="B243" s="191" t="s">
        <v>131</v>
      </c>
      <c r="D243" s="208">
        <v>2568</v>
      </c>
      <c r="E243" s="208">
        <v>1723</v>
      </c>
      <c r="F243" s="208">
        <v>3000</v>
      </c>
      <c r="G243" s="207">
        <f t="shared" si="2"/>
        <v>-432</v>
      </c>
      <c r="H243" s="193" t="s">
        <v>407</v>
      </c>
    </row>
    <row r="244" spans="1:8" ht="12">
      <c r="A244" s="4" t="s">
        <v>619</v>
      </c>
      <c r="B244" s="191" t="s">
        <v>409</v>
      </c>
      <c r="D244" s="208">
        <v>15000</v>
      </c>
      <c r="E244" s="208">
        <v>15000</v>
      </c>
      <c r="F244" s="208">
        <v>3000</v>
      </c>
      <c r="G244" s="207">
        <f t="shared" si="2"/>
        <v>12000</v>
      </c>
      <c r="H244" s="193" t="s">
        <v>407</v>
      </c>
    </row>
    <row r="245" spans="1:8" ht="12">
      <c r="A245" s="4" t="s">
        <v>620</v>
      </c>
      <c r="B245" s="191" t="s">
        <v>133</v>
      </c>
      <c r="C245" s="247"/>
      <c r="D245" s="208">
        <v>3477</v>
      </c>
      <c r="E245" s="208">
        <v>0</v>
      </c>
      <c r="F245" s="208">
        <v>0</v>
      </c>
      <c r="G245" s="207">
        <f t="shared" si="2"/>
        <v>3477</v>
      </c>
      <c r="H245" s="193" t="s">
        <v>407</v>
      </c>
    </row>
    <row r="246" spans="1:8" ht="12">
      <c r="A246" s="4" t="s">
        <v>621</v>
      </c>
      <c r="B246" s="191" t="s">
        <v>135</v>
      </c>
      <c r="C246" s="248"/>
      <c r="D246" s="208">
        <v>1799</v>
      </c>
      <c r="E246" s="208">
        <v>1356</v>
      </c>
      <c r="F246" s="208">
        <v>1800</v>
      </c>
      <c r="G246" s="207">
        <f t="shared" si="2"/>
        <v>-1</v>
      </c>
      <c r="H246" s="193" t="s">
        <v>407</v>
      </c>
    </row>
    <row r="247" spans="1:8" ht="12">
      <c r="A247" s="4" t="s">
        <v>613</v>
      </c>
      <c r="B247" s="191" t="s">
        <v>49</v>
      </c>
      <c r="C247" s="233"/>
      <c r="D247" s="208">
        <v>16490</v>
      </c>
      <c r="E247" s="208"/>
      <c r="F247" s="208">
        <v>12518</v>
      </c>
      <c r="G247" s="207">
        <f t="shared" si="2"/>
        <v>3972</v>
      </c>
      <c r="H247" s="193" t="s">
        <v>407</v>
      </c>
    </row>
    <row r="248" spans="1:8" ht="12">
      <c r="A248" s="4" t="s">
        <v>614</v>
      </c>
      <c r="B248" s="191" t="s">
        <v>162</v>
      </c>
      <c r="D248" s="208">
        <v>2897</v>
      </c>
      <c r="E248" s="208"/>
      <c r="F248" s="208">
        <v>5526</v>
      </c>
      <c r="G248" s="207">
        <f t="shared" si="2"/>
        <v>-2629</v>
      </c>
      <c r="H248" s="193" t="s">
        <v>407</v>
      </c>
    </row>
    <row r="249" spans="1:9" ht="12">
      <c r="A249" s="4" t="s">
        <v>610</v>
      </c>
      <c r="B249" s="191" t="s">
        <v>426</v>
      </c>
      <c r="C249" s="233"/>
      <c r="D249" s="208">
        <v>14950</v>
      </c>
      <c r="E249" s="208">
        <v>8778</v>
      </c>
      <c r="F249" s="208">
        <v>12468</v>
      </c>
      <c r="G249" s="207">
        <f t="shared" si="2"/>
        <v>2482</v>
      </c>
      <c r="H249" s="193" t="s">
        <v>407</v>
      </c>
      <c r="I249" s="246"/>
    </row>
    <row r="250" spans="1:8" ht="12">
      <c r="A250" s="4" t="s">
        <v>612</v>
      </c>
      <c r="B250" s="191" t="s">
        <v>75</v>
      </c>
      <c r="C250" s="233"/>
      <c r="D250" s="208">
        <v>7988</v>
      </c>
      <c r="E250" s="208">
        <v>8472.09</v>
      </c>
      <c r="F250" s="208">
        <v>7988</v>
      </c>
      <c r="G250" s="207">
        <f t="shared" si="2"/>
        <v>0</v>
      </c>
      <c r="H250" s="193" t="s">
        <v>407</v>
      </c>
    </row>
    <row r="251" spans="1:9" ht="12">
      <c r="A251" s="4" t="s">
        <v>611</v>
      </c>
      <c r="B251" s="191" t="s">
        <v>499</v>
      </c>
      <c r="C251" s="233"/>
      <c r="D251" s="208">
        <f>2500+1250</f>
        <v>3750</v>
      </c>
      <c r="E251" s="208">
        <v>1713</v>
      </c>
      <c r="F251" s="208">
        <v>3000</v>
      </c>
      <c r="G251" s="207">
        <f t="shared" si="2"/>
        <v>750</v>
      </c>
      <c r="H251" s="193" t="s">
        <v>407</v>
      </c>
      <c r="I251" s="246"/>
    </row>
    <row r="252" spans="1:8" ht="12">
      <c r="A252" s="4" t="s">
        <v>622</v>
      </c>
      <c r="B252" s="191" t="s">
        <v>51</v>
      </c>
      <c r="D252" s="208">
        <v>350</v>
      </c>
      <c r="E252" s="208">
        <v>449</v>
      </c>
      <c r="F252" s="208">
        <v>0</v>
      </c>
      <c r="G252" s="207">
        <f t="shared" si="2"/>
        <v>350</v>
      </c>
      <c r="H252" s="193" t="s">
        <v>407</v>
      </c>
    </row>
    <row r="253" spans="1:8" ht="12">
      <c r="A253" s="4" t="s">
        <v>632</v>
      </c>
      <c r="B253" s="191" t="s">
        <v>61</v>
      </c>
      <c r="D253" s="208">
        <v>204</v>
      </c>
      <c r="E253" s="208">
        <v>0</v>
      </c>
      <c r="F253" s="208">
        <v>0</v>
      </c>
      <c r="G253" s="207">
        <f t="shared" si="2"/>
        <v>204</v>
      </c>
      <c r="H253" s="193" t="s">
        <v>407</v>
      </c>
    </row>
    <row r="254" spans="1:8" ht="12">
      <c r="A254" s="4" t="s">
        <v>623</v>
      </c>
      <c r="B254" s="191" t="s">
        <v>101</v>
      </c>
      <c r="C254" s="247"/>
      <c r="D254" s="208">
        <v>800</v>
      </c>
      <c r="E254" s="208">
        <v>30</v>
      </c>
      <c r="F254" s="208">
        <v>0</v>
      </c>
      <c r="G254" s="207">
        <f t="shared" si="2"/>
        <v>800</v>
      </c>
      <c r="H254" s="193" t="s">
        <v>407</v>
      </c>
    </row>
    <row r="255" spans="1:8" ht="12">
      <c r="A255" s="4" t="s">
        <v>624</v>
      </c>
      <c r="B255" s="191" t="s">
        <v>139</v>
      </c>
      <c r="C255" s="248"/>
      <c r="D255" s="208">
        <v>8500</v>
      </c>
      <c r="E255" s="208">
        <v>6174</v>
      </c>
      <c r="F255" s="208">
        <v>8500</v>
      </c>
      <c r="G255" s="207">
        <f t="shared" si="2"/>
        <v>0</v>
      </c>
      <c r="H255" s="193" t="s">
        <v>407</v>
      </c>
    </row>
    <row r="256" spans="1:8" ht="12">
      <c r="A256" s="4" t="s">
        <v>625</v>
      </c>
      <c r="B256" s="191" t="s">
        <v>141</v>
      </c>
      <c r="D256" s="208">
        <v>3850</v>
      </c>
      <c r="E256" s="208">
        <v>1491</v>
      </c>
      <c r="F256" s="208">
        <v>3400</v>
      </c>
      <c r="G256" s="207">
        <f t="shared" si="2"/>
        <v>450</v>
      </c>
      <c r="H256" s="193" t="s">
        <v>407</v>
      </c>
    </row>
    <row r="257" spans="1:8" ht="12">
      <c r="A257" s="4" t="s">
        <v>626</v>
      </c>
      <c r="B257" s="191" t="s">
        <v>471</v>
      </c>
      <c r="D257" s="208">
        <v>800</v>
      </c>
      <c r="E257" s="208">
        <v>0</v>
      </c>
      <c r="F257" s="208">
        <v>800</v>
      </c>
      <c r="G257" s="207">
        <f t="shared" si="2"/>
        <v>0</v>
      </c>
      <c r="H257" s="193" t="s">
        <v>407</v>
      </c>
    </row>
    <row r="258" spans="1:8" ht="12">
      <c r="A258" s="4" t="s">
        <v>635</v>
      </c>
      <c r="B258" s="191" t="s">
        <v>151</v>
      </c>
      <c r="D258" s="208">
        <v>5000</v>
      </c>
      <c r="E258" s="208">
        <v>1812</v>
      </c>
      <c r="F258" s="208">
        <v>5000</v>
      </c>
      <c r="G258" s="207">
        <f t="shared" si="2"/>
        <v>0</v>
      </c>
      <c r="H258" s="193" t="s">
        <v>407</v>
      </c>
    </row>
    <row r="259" spans="1:8" ht="12">
      <c r="A259" s="4" t="s">
        <v>627</v>
      </c>
      <c r="B259" s="191" t="s">
        <v>143</v>
      </c>
      <c r="C259" s="248"/>
      <c r="D259" s="208">
        <v>500</v>
      </c>
      <c r="E259" s="208">
        <v>-173</v>
      </c>
      <c r="F259" s="208">
        <v>1300</v>
      </c>
      <c r="G259" s="207">
        <f t="shared" si="2"/>
        <v>-800</v>
      </c>
      <c r="H259" s="193" t="s">
        <v>407</v>
      </c>
    </row>
    <row r="260" spans="1:8" ht="12">
      <c r="A260" s="4" t="s">
        <v>628</v>
      </c>
      <c r="B260" s="191" t="s">
        <v>53</v>
      </c>
      <c r="C260" s="248"/>
      <c r="D260" s="208">
        <v>2900</v>
      </c>
      <c r="E260" s="208">
        <v>886</v>
      </c>
      <c r="F260" s="208">
        <v>2900</v>
      </c>
      <c r="G260" s="207">
        <f t="shared" si="2"/>
        <v>0</v>
      </c>
      <c r="H260" s="193" t="s">
        <v>407</v>
      </c>
    </row>
    <row r="261" spans="1:8" ht="12">
      <c r="A261" s="4" t="s">
        <v>629</v>
      </c>
      <c r="B261" s="191" t="s">
        <v>79</v>
      </c>
      <c r="D261" s="208">
        <v>850</v>
      </c>
      <c r="E261" s="208">
        <v>850</v>
      </c>
      <c r="F261" s="208">
        <v>850</v>
      </c>
      <c r="G261" s="207">
        <f t="shared" si="2"/>
        <v>0</v>
      </c>
      <c r="H261" s="193" t="s">
        <v>407</v>
      </c>
    </row>
    <row r="262" spans="1:8" ht="12">
      <c r="A262" s="4" t="s">
        <v>638</v>
      </c>
      <c r="B262" s="191" t="s">
        <v>157</v>
      </c>
      <c r="D262" s="208">
        <v>7500</v>
      </c>
      <c r="E262" s="208">
        <v>8000</v>
      </c>
      <c r="F262" s="208">
        <v>8000</v>
      </c>
      <c r="G262" s="207">
        <f t="shared" si="2"/>
        <v>-500</v>
      </c>
      <c r="H262" s="193" t="s">
        <v>407</v>
      </c>
    </row>
    <row r="263" spans="1:8" ht="12">
      <c r="A263" s="4" t="s">
        <v>636</v>
      </c>
      <c r="B263" s="191" t="s">
        <v>153</v>
      </c>
      <c r="D263" s="208">
        <v>800</v>
      </c>
      <c r="E263" s="208">
        <v>810</v>
      </c>
      <c r="F263" s="208">
        <v>810</v>
      </c>
      <c r="G263" s="207">
        <f t="shared" si="2"/>
        <v>-10</v>
      </c>
      <c r="H263" s="193" t="s">
        <v>407</v>
      </c>
    </row>
    <row r="264" spans="1:8" ht="12">
      <c r="A264" s="4" t="s">
        <v>639</v>
      </c>
      <c r="B264" s="191" t="s">
        <v>483</v>
      </c>
      <c r="D264" s="208">
        <v>500</v>
      </c>
      <c r="E264" s="208">
        <v>145</v>
      </c>
      <c r="F264" s="208">
        <v>500</v>
      </c>
      <c r="G264" s="207">
        <f t="shared" si="2"/>
        <v>0</v>
      </c>
      <c r="H264" s="193" t="s">
        <v>407</v>
      </c>
    </row>
    <row r="265" spans="1:8" ht="12">
      <c r="A265" s="4" t="s">
        <v>630</v>
      </c>
      <c r="B265" s="191" t="s">
        <v>59</v>
      </c>
      <c r="D265" s="208">
        <v>1600</v>
      </c>
      <c r="E265" s="208">
        <v>145</v>
      </c>
      <c r="F265" s="208">
        <v>360</v>
      </c>
      <c r="G265" s="207">
        <f t="shared" si="2"/>
        <v>1240</v>
      </c>
      <c r="H265" s="193" t="s">
        <v>407</v>
      </c>
    </row>
    <row r="266" spans="1:8" ht="12">
      <c r="A266" s="4" t="s">
        <v>631</v>
      </c>
      <c r="B266" s="191" t="s">
        <v>486</v>
      </c>
      <c r="D266" s="208">
        <v>570</v>
      </c>
      <c r="E266" s="208">
        <v>0</v>
      </c>
      <c r="F266" s="208">
        <v>570</v>
      </c>
      <c r="G266" s="207">
        <f t="shared" si="2"/>
        <v>0</v>
      </c>
      <c r="H266" s="193" t="s">
        <v>407</v>
      </c>
    </row>
    <row r="267" spans="1:8" ht="12">
      <c r="A267" s="4" t="s">
        <v>633</v>
      </c>
      <c r="B267" s="191" t="s">
        <v>149</v>
      </c>
      <c r="D267" s="208">
        <v>800</v>
      </c>
      <c r="E267" s="208">
        <v>750</v>
      </c>
      <c r="F267" s="208">
        <v>800</v>
      </c>
      <c r="G267" s="207">
        <f t="shared" si="2"/>
        <v>0</v>
      </c>
      <c r="H267" s="193" t="s">
        <v>407</v>
      </c>
    </row>
    <row r="268" spans="1:8" ht="12">
      <c r="A268" s="4" t="s">
        <v>634</v>
      </c>
      <c r="B268" s="191" t="s">
        <v>67</v>
      </c>
      <c r="D268" s="208">
        <v>1900</v>
      </c>
      <c r="E268" s="208">
        <v>0</v>
      </c>
      <c r="F268" s="208">
        <v>1900</v>
      </c>
      <c r="G268" s="207">
        <f t="shared" si="2"/>
        <v>0</v>
      </c>
      <c r="H268" s="193" t="s">
        <v>407</v>
      </c>
    </row>
    <row r="269" spans="1:8" ht="12">
      <c r="A269" s="4" t="s">
        <v>637</v>
      </c>
      <c r="B269" s="191" t="s">
        <v>155</v>
      </c>
      <c r="D269" s="208">
        <v>1260</v>
      </c>
      <c r="E269" s="208">
        <v>0</v>
      </c>
      <c r="F269" s="208">
        <v>1320</v>
      </c>
      <c r="G269" s="207">
        <f t="shared" si="2"/>
        <v>-60</v>
      </c>
      <c r="H269" s="193" t="s">
        <v>407</v>
      </c>
    </row>
    <row r="270" spans="1:8" ht="12">
      <c r="A270" s="4" t="s">
        <v>640</v>
      </c>
      <c r="B270" s="191" t="s">
        <v>395</v>
      </c>
      <c r="D270" s="208">
        <v>12839</v>
      </c>
      <c r="E270" s="208">
        <v>12839</v>
      </c>
      <c r="F270" s="208">
        <v>12839</v>
      </c>
      <c r="G270" s="207">
        <f t="shared" si="2"/>
        <v>0</v>
      </c>
      <c r="H270" s="193" t="s">
        <v>407</v>
      </c>
    </row>
    <row r="271" spans="1:8" ht="13.5">
      <c r="A271" s="4" t="s">
        <v>641</v>
      </c>
      <c r="B271" s="191" t="s">
        <v>462</v>
      </c>
      <c r="D271" s="212">
        <f>15567-1100</f>
        <v>14467</v>
      </c>
      <c r="E271" s="212">
        <v>14467</v>
      </c>
      <c r="F271" s="212">
        <v>14467</v>
      </c>
      <c r="G271" s="207">
        <f t="shared" si="2"/>
        <v>0</v>
      </c>
      <c r="H271" s="193" t="s">
        <v>407</v>
      </c>
    </row>
    <row r="272" spans="2:8" ht="12.75" thickBot="1">
      <c r="B272" s="191" t="s">
        <v>330</v>
      </c>
      <c r="D272" s="241">
        <f>SUM(D237:D271)</f>
        <v>329500</v>
      </c>
      <c r="E272" s="241">
        <f>SUM(E237:E271)</f>
        <v>220596.09</v>
      </c>
      <c r="F272" s="241">
        <f>SUM(F237:F271)</f>
        <v>312074</v>
      </c>
      <c r="G272" s="207">
        <f t="shared" si="2"/>
        <v>17426</v>
      </c>
      <c r="H272" s="193" t="s">
        <v>407</v>
      </c>
    </row>
    <row r="273" spans="4:8" ht="12">
      <c r="D273" s="242"/>
      <c r="E273" s="242"/>
      <c r="F273" s="242"/>
      <c r="G273" s="207"/>
      <c r="H273" s="193"/>
    </row>
    <row r="274" spans="4:8" ht="12">
      <c r="D274" s="242"/>
      <c r="E274" s="242"/>
      <c r="F274" s="242"/>
      <c r="G274" s="207"/>
      <c r="H274" s="193"/>
    </row>
    <row r="275" spans="4:8" ht="12">
      <c r="D275" s="210"/>
      <c r="E275" s="210"/>
      <c r="F275" s="210"/>
      <c r="G275" s="197"/>
      <c r="H275" s="193"/>
    </row>
    <row r="276" spans="4:7" ht="12">
      <c r="D276" s="210"/>
      <c r="E276" s="210"/>
      <c r="F276" s="210"/>
      <c r="G276" s="197"/>
    </row>
    <row r="277" spans="1:8" ht="12">
      <c r="A277" s="192"/>
      <c r="B277" s="192"/>
      <c r="C277" s="192"/>
      <c r="D277" s="192"/>
      <c r="E277" s="192"/>
      <c r="F277" s="192"/>
      <c r="H277" s="191">
        <v>5</v>
      </c>
    </row>
    <row r="278" spans="1:8" ht="18">
      <c r="A278" s="209"/>
      <c r="B278" s="249" t="s">
        <v>340</v>
      </c>
      <c r="C278" s="195"/>
      <c r="D278" s="195"/>
      <c r="E278" s="195"/>
      <c r="F278" s="195"/>
      <c r="G278" s="195"/>
      <c r="H278" s="195"/>
    </row>
    <row r="279" spans="1:2" ht="12">
      <c r="A279" s="209"/>
      <c r="B279" s="209"/>
    </row>
    <row r="280" spans="4:8" ht="13.5" thickBot="1">
      <c r="D280" s="198" t="s">
        <v>579</v>
      </c>
      <c r="E280" s="198"/>
      <c r="F280" s="198" t="s">
        <v>578</v>
      </c>
      <c r="G280" s="199" t="s">
        <v>451</v>
      </c>
      <c r="H280" s="200"/>
    </row>
    <row r="281" spans="1:8" s="265" customFormat="1" ht="13.5">
      <c r="A281" s="265" t="s">
        <v>159</v>
      </c>
      <c r="B281" s="265" t="s">
        <v>160</v>
      </c>
      <c r="C281" s="291"/>
      <c r="D281" s="292" t="s">
        <v>514</v>
      </c>
      <c r="E281" s="292">
        <v>2017</v>
      </c>
      <c r="F281" s="292">
        <v>2018</v>
      </c>
      <c r="G281" s="294" t="s">
        <v>519</v>
      </c>
      <c r="H281" s="295" t="s">
        <v>478</v>
      </c>
    </row>
    <row r="282" spans="4:6" ht="12">
      <c r="D282" s="245"/>
      <c r="E282" s="245"/>
      <c r="F282" s="245"/>
    </row>
    <row r="283" spans="1:8" ht="12">
      <c r="A283" s="191" t="s">
        <v>163</v>
      </c>
      <c r="B283" s="191" t="s">
        <v>101</v>
      </c>
      <c r="D283" s="231">
        <v>200</v>
      </c>
      <c r="E283" s="231">
        <v>180.4</v>
      </c>
      <c r="F283" s="231">
        <v>200</v>
      </c>
      <c r="G283" s="207">
        <f>D283-F283</f>
        <v>0</v>
      </c>
      <c r="H283" s="193" t="s">
        <v>407</v>
      </c>
    </row>
    <row r="284" spans="1:8" ht="12">
      <c r="A284" s="191" t="s">
        <v>164</v>
      </c>
      <c r="B284" s="191" t="s">
        <v>139</v>
      </c>
      <c r="D284" s="208">
        <v>700</v>
      </c>
      <c r="E284" s="208">
        <v>393</v>
      </c>
      <c r="F284" s="208">
        <v>500</v>
      </c>
      <c r="G284" s="207">
        <f aca="true" t="shared" si="3" ref="G284:G311">D284-F284</f>
        <v>200</v>
      </c>
      <c r="H284" s="193" t="s">
        <v>407</v>
      </c>
    </row>
    <row r="285" spans="1:8" ht="12">
      <c r="A285" s="191" t="s">
        <v>165</v>
      </c>
      <c r="B285" s="191" t="s">
        <v>166</v>
      </c>
      <c r="D285" s="208">
        <v>4200</v>
      </c>
      <c r="E285" s="208">
        <v>1838</v>
      </c>
      <c r="F285" s="208">
        <v>3000</v>
      </c>
      <c r="G285" s="207">
        <f t="shared" si="3"/>
        <v>1200</v>
      </c>
      <c r="H285" s="193" t="s">
        <v>407</v>
      </c>
    </row>
    <row r="286" spans="1:8" ht="12">
      <c r="A286" s="191" t="s">
        <v>167</v>
      </c>
      <c r="B286" s="191" t="s">
        <v>143</v>
      </c>
      <c r="D286" s="231">
        <v>920</v>
      </c>
      <c r="E286" s="231">
        <v>777.6</v>
      </c>
      <c r="F286" s="231">
        <v>3000</v>
      </c>
      <c r="G286" s="207">
        <f t="shared" si="3"/>
        <v>-2080</v>
      </c>
      <c r="H286" s="193" t="s">
        <v>407</v>
      </c>
    </row>
    <row r="287" spans="1:8" ht="12">
      <c r="A287" s="191" t="s">
        <v>168</v>
      </c>
      <c r="B287" s="191" t="s">
        <v>59</v>
      </c>
      <c r="D287" s="234">
        <v>500</v>
      </c>
      <c r="E287" s="234">
        <v>572</v>
      </c>
      <c r="F287" s="234">
        <v>920</v>
      </c>
      <c r="G287" s="207">
        <f t="shared" si="3"/>
        <v>-420</v>
      </c>
      <c r="H287" s="193" t="s">
        <v>407</v>
      </c>
    </row>
    <row r="288" spans="1:8" ht="12">
      <c r="A288" s="191" t="s">
        <v>169</v>
      </c>
      <c r="B288" s="191" t="s">
        <v>149</v>
      </c>
      <c r="D288" s="208">
        <v>3004</v>
      </c>
      <c r="E288" s="208">
        <v>0</v>
      </c>
      <c r="F288" s="208">
        <v>500</v>
      </c>
      <c r="G288" s="207">
        <f t="shared" si="3"/>
        <v>2504</v>
      </c>
      <c r="H288" s="193" t="s">
        <v>407</v>
      </c>
    </row>
    <row r="289" spans="1:8" ht="12">
      <c r="A289" s="191" t="s">
        <v>170</v>
      </c>
      <c r="B289" s="191" t="s">
        <v>171</v>
      </c>
      <c r="D289" s="208">
        <v>2600</v>
      </c>
      <c r="E289" s="208">
        <v>2253</v>
      </c>
      <c r="F289" s="208">
        <v>3004</v>
      </c>
      <c r="G289" s="207">
        <f t="shared" si="3"/>
        <v>-404</v>
      </c>
      <c r="H289" s="193" t="s">
        <v>407</v>
      </c>
    </row>
    <row r="290" spans="1:8" ht="12">
      <c r="A290" s="191" t="s">
        <v>172</v>
      </c>
      <c r="B290" s="191" t="s">
        <v>67</v>
      </c>
      <c r="D290" s="208">
        <v>5012</v>
      </c>
      <c r="E290" s="208">
        <v>529.25</v>
      </c>
      <c r="F290" s="208">
        <v>2600</v>
      </c>
      <c r="G290" s="207">
        <f t="shared" si="3"/>
        <v>2412</v>
      </c>
      <c r="H290" s="193" t="s">
        <v>407</v>
      </c>
    </row>
    <row r="291" spans="1:8" ht="12">
      <c r="A291" s="191" t="s">
        <v>173</v>
      </c>
      <c r="B291" s="191" t="s">
        <v>151</v>
      </c>
      <c r="D291" s="208">
        <v>4000</v>
      </c>
      <c r="E291" s="208">
        <v>3233</v>
      </c>
      <c r="F291" s="208">
        <v>5000</v>
      </c>
      <c r="G291" s="207">
        <f t="shared" si="3"/>
        <v>-1000</v>
      </c>
      <c r="H291" s="193" t="s">
        <v>407</v>
      </c>
    </row>
    <row r="292" spans="1:8" ht="12">
      <c r="A292" s="191" t="s">
        <v>174</v>
      </c>
      <c r="B292" s="191" t="s">
        <v>449</v>
      </c>
      <c r="D292" s="208">
        <v>12192</v>
      </c>
      <c r="E292" s="208">
        <v>11178</v>
      </c>
      <c r="F292" s="208">
        <v>11178.26</v>
      </c>
      <c r="G292" s="207">
        <f t="shared" si="3"/>
        <v>1013.7399999999998</v>
      </c>
      <c r="H292" s="193" t="s">
        <v>581</v>
      </c>
    </row>
    <row r="293" spans="1:8" ht="12">
      <c r="A293" s="191" t="s">
        <v>175</v>
      </c>
      <c r="B293" s="191" t="s">
        <v>176</v>
      </c>
      <c r="D293" s="208">
        <v>7000</v>
      </c>
      <c r="E293" s="208">
        <v>7000</v>
      </c>
      <c r="F293" s="208">
        <v>5000</v>
      </c>
      <c r="G293" s="207">
        <f t="shared" si="3"/>
        <v>2000</v>
      </c>
      <c r="H293" s="193" t="s">
        <v>407</v>
      </c>
    </row>
    <row r="294" spans="1:8" ht="13.5">
      <c r="A294" s="191" t="s">
        <v>299</v>
      </c>
      <c r="B294" s="191" t="s">
        <v>448</v>
      </c>
      <c r="D294" s="212">
        <v>1800</v>
      </c>
      <c r="E294" s="212">
        <v>0</v>
      </c>
      <c r="F294" s="212"/>
      <c r="G294" s="239">
        <f t="shared" si="3"/>
        <v>1800</v>
      </c>
      <c r="H294" s="193" t="s">
        <v>407</v>
      </c>
    </row>
    <row r="295" spans="2:8" ht="13.5">
      <c r="B295" s="4" t="s">
        <v>605</v>
      </c>
      <c r="D295" s="212"/>
      <c r="E295" s="212"/>
      <c r="F295" s="212">
        <v>6000</v>
      </c>
      <c r="G295" s="239"/>
      <c r="H295" s="193"/>
    </row>
    <row r="296" spans="2:8" ht="12">
      <c r="B296" s="191" t="s">
        <v>332</v>
      </c>
      <c r="D296" s="214">
        <f>SUM(D283:D294)</f>
        <v>42128</v>
      </c>
      <c r="E296" s="214">
        <f>SUM(E283:E294)</f>
        <v>27954.25</v>
      </c>
      <c r="F296" s="214">
        <f>SUM(F283:F295)</f>
        <v>40902.26</v>
      </c>
      <c r="G296" s="207">
        <f t="shared" si="3"/>
        <v>1225.739999999998</v>
      </c>
      <c r="H296" s="193" t="s">
        <v>407</v>
      </c>
    </row>
    <row r="297" spans="4:7" ht="12">
      <c r="D297" s="215"/>
      <c r="E297" s="215"/>
      <c r="F297" s="215"/>
      <c r="G297" s="207">
        <f t="shared" si="3"/>
        <v>0</v>
      </c>
    </row>
    <row r="298" spans="1:7" ht="12">
      <c r="A298" s="250" t="s">
        <v>490</v>
      </c>
      <c r="B298" s="191" t="s">
        <v>491</v>
      </c>
      <c r="D298" s="215"/>
      <c r="E298" s="215"/>
      <c r="F298" s="215"/>
      <c r="G298" s="207">
        <f t="shared" si="3"/>
        <v>0</v>
      </c>
    </row>
    <row r="299" spans="4:7" ht="12">
      <c r="D299" s="215"/>
      <c r="E299" s="215"/>
      <c r="F299" s="215"/>
      <c r="G299" s="207">
        <f t="shared" si="3"/>
        <v>0</v>
      </c>
    </row>
    <row r="300" spans="1:8" ht="12">
      <c r="A300" s="191" t="s">
        <v>492</v>
      </c>
      <c r="B300" s="191" t="s">
        <v>496</v>
      </c>
      <c r="D300" s="214">
        <v>900</v>
      </c>
      <c r="E300" s="214">
        <v>0</v>
      </c>
      <c r="F300" s="214">
        <v>900</v>
      </c>
      <c r="G300" s="207">
        <f t="shared" si="3"/>
        <v>0</v>
      </c>
      <c r="H300" s="193" t="s">
        <v>407</v>
      </c>
    </row>
    <row r="301" spans="1:8" ht="12">
      <c r="A301" s="191" t="s">
        <v>493</v>
      </c>
      <c r="B301" s="191" t="s">
        <v>49</v>
      </c>
      <c r="D301" s="214">
        <v>69</v>
      </c>
      <c r="E301" s="214">
        <v>0</v>
      </c>
      <c r="F301" s="214">
        <v>69</v>
      </c>
      <c r="G301" s="207">
        <f t="shared" si="3"/>
        <v>0</v>
      </c>
      <c r="H301" s="193" t="s">
        <v>407</v>
      </c>
    </row>
    <row r="302" spans="1:8" ht="12">
      <c r="A302" s="191" t="s">
        <v>494</v>
      </c>
      <c r="B302" s="191" t="s">
        <v>162</v>
      </c>
      <c r="D302" s="214">
        <f>D300*0.0285</f>
        <v>25.650000000000002</v>
      </c>
      <c r="E302" s="214">
        <f>E300*0.0285</f>
        <v>0</v>
      </c>
      <c r="F302" s="214">
        <v>26</v>
      </c>
      <c r="G302" s="207">
        <v>0</v>
      </c>
      <c r="H302" s="193" t="s">
        <v>407</v>
      </c>
    </row>
    <row r="303" spans="1:8" ht="13.5">
      <c r="A303" s="191" t="s">
        <v>495</v>
      </c>
      <c r="B303" s="191" t="s">
        <v>53</v>
      </c>
      <c r="D303" s="251">
        <v>185</v>
      </c>
      <c r="E303" s="251">
        <v>0</v>
      </c>
      <c r="F303" s="251">
        <v>185</v>
      </c>
      <c r="G303" s="239">
        <f t="shared" si="3"/>
        <v>0</v>
      </c>
      <c r="H303" s="193" t="s">
        <v>407</v>
      </c>
    </row>
    <row r="304" spans="2:8" ht="12">
      <c r="B304" s="191" t="s">
        <v>497</v>
      </c>
      <c r="D304" s="214">
        <f>SUM(D300:D303)</f>
        <v>1179.65</v>
      </c>
      <c r="E304" s="214">
        <f>SUM(E300:E303)</f>
        <v>0</v>
      </c>
      <c r="F304" s="214">
        <f>SUM(F300:F303)</f>
        <v>1180</v>
      </c>
      <c r="G304" s="207">
        <f t="shared" si="3"/>
        <v>-0.34999999999990905</v>
      </c>
      <c r="H304" s="193" t="s">
        <v>407</v>
      </c>
    </row>
    <row r="305" spans="4:7" ht="12">
      <c r="D305" s="215"/>
      <c r="E305" s="215"/>
      <c r="F305" s="215"/>
      <c r="G305" s="207">
        <f t="shared" si="3"/>
        <v>0</v>
      </c>
    </row>
    <row r="306" spans="1:7" ht="12">
      <c r="A306" s="250" t="s">
        <v>453</v>
      </c>
      <c r="B306" s="191" t="s">
        <v>455</v>
      </c>
      <c r="D306" s="215"/>
      <c r="E306" s="215"/>
      <c r="F306" s="215"/>
      <c r="G306" s="207">
        <f t="shared" si="3"/>
        <v>0</v>
      </c>
    </row>
    <row r="307" spans="4:7" ht="12">
      <c r="D307" s="215"/>
      <c r="E307" s="215"/>
      <c r="F307" s="215"/>
      <c r="G307" s="207">
        <f t="shared" si="3"/>
        <v>0</v>
      </c>
    </row>
    <row r="308" spans="1:8" ht="12">
      <c r="A308" s="191" t="s">
        <v>456</v>
      </c>
      <c r="B308" s="191" t="s">
        <v>53</v>
      </c>
      <c r="D308" s="208">
        <v>300</v>
      </c>
      <c r="E308" s="208">
        <v>225</v>
      </c>
      <c r="F308" s="208">
        <v>400</v>
      </c>
      <c r="G308" s="207">
        <f t="shared" si="3"/>
        <v>-100</v>
      </c>
      <c r="H308" s="193" t="s">
        <v>582</v>
      </c>
    </row>
    <row r="309" spans="1:8" ht="13.5">
      <c r="A309" s="191" t="s">
        <v>457</v>
      </c>
      <c r="B309" s="191" t="s">
        <v>59</v>
      </c>
      <c r="D309" s="212">
        <v>300</v>
      </c>
      <c r="E309" s="212">
        <v>225</v>
      </c>
      <c r="F309" s="212">
        <v>300</v>
      </c>
      <c r="G309" s="207">
        <f t="shared" si="3"/>
        <v>0</v>
      </c>
      <c r="H309" s="193" t="s">
        <v>407</v>
      </c>
    </row>
    <row r="310" spans="2:8" ht="13.5">
      <c r="B310" s="4" t="s">
        <v>606</v>
      </c>
      <c r="D310" s="212"/>
      <c r="E310" s="212"/>
      <c r="F310" s="212">
        <v>2000</v>
      </c>
      <c r="G310" s="207"/>
      <c r="H310" s="193"/>
    </row>
    <row r="311" spans="2:8" ht="12.75" thickBot="1">
      <c r="B311" s="191" t="s">
        <v>460</v>
      </c>
      <c r="D311" s="241">
        <f>SUM(D308:D309)</f>
        <v>600</v>
      </c>
      <c r="E311" s="241">
        <f>SUM(E308:E309)</f>
        <v>450</v>
      </c>
      <c r="F311" s="241">
        <f>SUM(F308:F310)</f>
        <v>2700</v>
      </c>
      <c r="G311" s="207">
        <f t="shared" si="3"/>
        <v>-2100</v>
      </c>
      <c r="H311" s="193" t="s">
        <v>407</v>
      </c>
    </row>
    <row r="312" spans="4:8" ht="12">
      <c r="D312" s="242"/>
      <c r="E312" s="242"/>
      <c r="F312" s="242"/>
      <c r="G312" s="207"/>
      <c r="H312" s="193"/>
    </row>
    <row r="313" spans="4:8" ht="12">
      <c r="D313" s="242"/>
      <c r="E313" s="242"/>
      <c r="F313" s="242"/>
      <c r="G313" s="207"/>
      <c r="H313" s="193"/>
    </row>
    <row r="314" spans="4:7" ht="12">
      <c r="D314" s="210"/>
      <c r="E314" s="210"/>
      <c r="F314" s="210"/>
      <c r="G314" s="243"/>
    </row>
    <row r="315" spans="4:7" ht="13.5" customHeight="1">
      <c r="D315" s="210"/>
      <c r="E315" s="210"/>
      <c r="F315" s="210"/>
      <c r="G315" s="243"/>
    </row>
    <row r="316" spans="4:8" ht="12">
      <c r="D316" s="252"/>
      <c r="E316" s="252"/>
      <c r="F316" s="252"/>
      <c r="H316" s="191">
        <v>6</v>
      </c>
    </row>
    <row r="317" spans="2:8" ht="18">
      <c r="B317" s="194" t="s">
        <v>340</v>
      </c>
      <c r="C317" s="195"/>
      <c r="D317" s="253"/>
      <c r="E317" s="253"/>
      <c r="F317" s="253"/>
      <c r="G317" s="195"/>
      <c r="H317" s="195"/>
    </row>
    <row r="318" spans="4:6" ht="12">
      <c r="D318" s="252"/>
      <c r="E318" s="252"/>
      <c r="F318" s="252"/>
    </row>
    <row r="319" spans="4:8" ht="13.5" thickBot="1">
      <c r="D319" s="198" t="s">
        <v>579</v>
      </c>
      <c r="E319" s="198"/>
      <c r="F319" s="198" t="s">
        <v>578</v>
      </c>
      <c r="G319" s="199" t="s">
        <v>451</v>
      </c>
      <c r="H319" s="200"/>
    </row>
    <row r="320" spans="1:8" ht="13.5">
      <c r="A320" s="191" t="s">
        <v>178</v>
      </c>
      <c r="B320" s="191" t="s">
        <v>334</v>
      </c>
      <c r="D320" s="201" t="s">
        <v>514</v>
      </c>
      <c r="E320" s="201" t="s">
        <v>514</v>
      </c>
      <c r="F320" s="201">
        <v>2018</v>
      </c>
      <c r="G320" s="202" t="s">
        <v>505</v>
      </c>
      <c r="H320" s="203" t="s">
        <v>478</v>
      </c>
    </row>
    <row r="321" spans="4:6" ht="12">
      <c r="D321" s="215"/>
      <c r="E321" s="215"/>
      <c r="F321" s="215"/>
    </row>
    <row r="322" spans="1:8" ht="12">
      <c r="A322" s="191" t="s">
        <v>179</v>
      </c>
      <c r="B322" s="191" t="s">
        <v>91</v>
      </c>
      <c r="D322" s="208">
        <v>500</v>
      </c>
      <c r="E322" s="208">
        <v>594</v>
      </c>
      <c r="F322" s="208">
        <v>5000</v>
      </c>
      <c r="G322" s="207">
        <f>D322-F322</f>
        <v>-4500</v>
      </c>
      <c r="H322" s="193" t="s">
        <v>516</v>
      </c>
    </row>
    <row r="323" spans="1:8" ht="12">
      <c r="A323" s="191" t="s">
        <v>180</v>
      </c>
      <c r="B323" s="191" t="s">
        <v>181</v>
      </c>
      <c r="D323" s="208">
        <f>150*12</f>
        <v>1800</v>
      </c>
      <c r="E323" s="208">
        <v>1200</v>
      </c>
      <c r="F323" s="208">
        <v>1800</v>
      </c>
      <c r="G323" s="207">
        <f aca="true" t="shared" si="4" ref="G323:G328">D323-F323</f>
        <v>0</v>
      </c>
      <c r="H323" s="193" t="s">
        <v>407</v>
      </c>
    </row>
    <row r="324" spans="1:8" ht="12">
      <c r="A324" s="191" t="s">
        <v>465</v>
      </c>
      <c r="B324" s="191" t="s">
        <v>466</v>
      </c>
      <c r="D324" s="208">
        <f>150*12</f>
        <v>1800</v>
      </c>
      <c r="E324" s="208">
        <v>1200</v>
      </c>
      <c r="F324" s="208">
        <v>1800</v>
      </c>
      <c r="G324" s="207">
        <f t="shared" si="4"/>
        <v>0</v>
      </c>
      <c r="H324" s="193" t="s">
        <v>407</v>
      </c>
    </row>
    <row r="325" spans="1:8" ht="12">
      <c r="A325" s="191" t="s">
        <v>182</v>
      </c>
      <c r="B325" s="191" t="s">
        <v>76</v>
      </c>
      <c r="D325" s="208">
        <f>ROUND((D323+D324)*0.0765,0)</f>
        <v>275</v>
      </c>
      <c r="E325" s="208">
        <f>ROUND((E323+E324)*0.0765,0)</f>
        <v>184</v>
      </c>
      <c r="F325" s="208">
        <v>275</v>
      </c>
      <c r="G325" s="207">
        <f t="shared" si="4"/>
        <v>0</v>
      </c>
      <c r="H325" s="193" t="s">
        <v>407</v>
      </c>
    </row>
    <row r="326" spans="1:8" ht="12">
      <c r="A326" s="191" t="s">
        <v>183</v>
      </c>
      <c r="B326" s="191" t="s">
        <v>162</v>
      </c>
      <c r="D326" s="208">
        <f>ROUND((D323+D324)*0.0285,0)</f>
        <v>103</v>
      </c>
      <c r="E326" s="208">
        <f>ROUND((E323+E324)*0.0285,0)</f>
        <v>68</v>
      </c>
      <c r="F326" s="208">
        <v>103</v>
      </c>
      <c r="G326" s="207">
        <f t="shared" si="4"/>
        <v>0</v>
      </c>
      <c r="H326" s="193" t="s">
        <v>407</v>
      </c>
    </row>
    <row r="327" spans="1:8" ht="12">
      <c r="A327" s="191" t="s">
        <v>472</v>
      </c>
      <c r="B327" s="191" t="s">
        <v>51</v>
      </c>
      <c r="D327" s="208">
        <v>500</v>
      </c>
      <c r="E327" s="208">
        <v>500</v>
      </c>
      <c r="F327" s="208">
        <v>500</v>
      </c>
      <c r="G327" s="207">
        <f t="shared" si="4"/>
        <v>0</v>
      </c>
      <c r="H327" s="193" t="s">
        <v>407</v>
      </c>
    </row>
    <row r="328" spans="1:8" ht="12">
      <c r="A328" s="191" t="s">
        <v>411</v>
      </c>
      <c r="B328" s="191" t="s">
        <v>59</v>
      </c>
      <c r="D328" s="208">
        <f>45*12</f>
        <v>540</v>
      </c>
      <c r="E328" s="208">
        <f>45*12</f>
        <v>540</v>
      </c>
      <c r="F328" s="208">
        <v>540</v>
      </c>
      <c r="G328" s="207">
        <f t="shared" si="4"/>
        <v>0</v>
      </c>
      <c r="H328" s="193" t="s">
        <v>407</v>
      </c>
    </row>
    <row r="329" spans="1:8" ht="13.5">
      <c r="A329" s="191" t="s">
        <v>184</v>
      </c>
      <c r="B329" s="191" t="s">
        <v>61</v>
      </c>
      <c r="D329" s="212">
        <v>500</v>
      </c>
      <c r="E329" s="212">
        <v>500</v>
      </c>
      <c r="F329" s="212">
        <v>500</v>
      </c>
      <c r="G329" s="239">
        <f>D329-F329</f>
        <v>0</v>
      </c>
      <c r="H329" s="193" t="s">
        <v>407</v>
      </c>
    </row>
    <row r="330" spans="2:8" ht="12.75" thickBot="1">
      <c r="B330" s="191" t="s">
        <v>335</v>
      </c>
      <c r="D330" s="241">
        <f>SUM(D322:D329)</f>
        <v>6018</v>
      </c>
      <c r="E330" s="241">
        <f>SUM(E322:E329)</f>
        <v>4786</v>
      </c>
      <c r="F330" s="241">
        <f>SUM(F322:F329)</f>
        <v>10518</v>
      </c>
      <c r="G330" s="207">
        <f>D330-F330</f>
        <v>-4500</v>
      </c>
      <c r="H330" s="193" t="s">
        <v>407</v>
      </c>
    </row>
    <row r="331" spans="4:8" ht="12">
      <c r="D331" s="242"/>
      <c r="E331" s="242"/>
      <c r="F331" s="242"/>
      <c r="G331" s="207"/>
      <c r="H331" s="193"/>
    </row>
    <row r="332" spans="4:8" ht="12">
      <c r="D332" s="242"/>
      <c r="E332" s="242"/>
      <c r="F332" s="242"/>
      <c r="G332" s="207"/>
      <c r="H332" s="193"/>
    </row>
    <row r="333" spans="4:8" ht="12">
      <c r="D333" s="210"/>
      <c r="E333" s="210"/>
      <c r="F333" s="210"/>
      <c r="G333" s="243"/>
      <c r="H333" s="193"/>
    </row>
    <row r="334" spans="4:7" ht="12">
      <c r="D334" s="210"/>
      <c r="E334" s="210"/>
      <c r="F334" s="210"/>
      <c r="G334" s="243"/>
    </row>
    <row r="335" spans="4:8" ht="12">
      <c r="D335" s="210"/>
      <c r="E335" s="210"/>
      <c r="F335" s="210"/>
      <c r="G335" s="243"/>
      <c r="H335" s="191">
        <v>7</v>
      </c>
    </row>
    <row r="336" spans="2:8" ht="18">
      <c r="B336" s="194" t="s">
        <v>340</v>
      </c>
      <c r="C336" s="195"/>
      <c r="D336" s="195"/>
      <c r="E336" s="195"/>
      <c r="F336" s="195"/>
      <c r="G336" s="195"/>
      <c r="H336" s="195"/>
    </row>
    <row r="338" spans="4:8" ht="13.5" thickBot="1">
      <c r="D338" s="198" t="s">
        <v>579</v>
      </c>
      <c r="E338" s="198"/>
      <c r="F338" s="198" t="s">
        <v>578</v>
      </c>
      <c r="G338" s="199" t="s">
        <v>451</v>
      </c>
      <c r="H338" s="200"/>
    </row>
    <row r="339" spans="1:8" s="265" customFormat="1" ht="13.5">
      <c r="A339" s="265" t="s">
        <v>185</v>
      </c>
      <c r="B339" s="265" t="s">
        <v>333</v>
      </c>
      <c r="C339" s="291"/>
      <c r="D339" s="292" t="s">
        <v>514</v>
      </c>
      <c r="E339" s="293" t="s">
        <v>514</v>
      </c>
      <c r="F339" s="293">
        <v>2018</v>
      </c>
      <c r="G339" s="294" t="s">
        <v>505</v>
      </c>
      <c r="H339" s="295" t="s">
        <v>478</v>
      </c>
    </row>
    <row r="340" spans="3:7" s="227" customFormat="1" ht="9.75">
      <c r="C340" s="228"/>
      <c r="D340" s="230"/>
      <c r="E340" s="254"/>
      <c r="F340" s="230"/>
      <c r="G340" s="226"/>
    </row>
    <row r="341" spans="1:8" ht="12">
      <c r="A341" s="191" t="s">
        <v>454</v>
      </c>
      <c r="B341" s="191" t="s">
        <v>161</v>
      </c>
      <c r="C341" s="233"/>
      <c r="D341" s="208">
        <v>2400</v>
      </c>
      <c r="E341" s="255">
        <v>1600</v>
      </c>
      <c r="F341" s="208">
        <v>2400</v>
      </c>
      <c r="G341" s="207">
        <f>D341-F341</f>
        <v>0</v>
      </c>
      <c r="H341" s="193" t="s">
        <v>407</v>
      </c>
    </row>
    <row r="342" spans="1:8" ht="12">
      <c r="A342" s="191" t="s">
        <v>186</v>
      </c>
      <c r="B342" s="191" t="s">
        <v>187</v>
      </c>
      <c r="D342" s="208">
        <v>22268</v>
      </c>
      <c r="E342" s="255">
        <v>19665</v>
      </c>
      <c r="F342" s="208">
        <v>23610.32</v>
      </c>
      <c r="G342" s="207">
        <f aca="true" t="shared" si="5" ref="G342:G368">D342-F342</f>
        <v>-1342.3199999999997</v>
      </c>
      <c r="H342" s="193" t="s">
        <v>407</v>
      </c>
    </row>
    <row r="343" spans="1:8" ht="12">
      <c r="A343" s="191" t="s">
        <v>188</v>
      </c>
      <c r="B343" s="191" t="s">
        <v>450</v>
      </c>
      <c r="C343" s="256"/>
      <c r="D343" s="208">
        <v>24330</v>
      </c>
      <c r="E343" s="255">
        <v>9974</v>
      </c>
      <c r="F343" s="208">
        <v>22571</v>
      </c>
      <c r="G343" s="207">
        <f t="shared" si="5"/>
        <v>1759</v>
      </c>
      <c r="H343" s="193" t="s">
        <v>407</v>
      </c>
    </row>
    <row r="344" spans="1:8" ht="12">
      <c r="A344" s="191" t="s">
        <v>189</v>
      </c>
      <c r="B344" s="191" t="s">
        <v>467</v>
      </c>
      <c r="C344" s="233"/>
      <c r="D344" s="208">
        <v>18075</v>
      </c>
      <c r="E344" s="255">
        <v>7344</v>
      </c>
      <c r="F344" s="208">
        <v>17151</v>
      </c>
      <c r="G344" s="207">
        <f t="shared" si="5"/>
        <v>924</v>
      </c>
      <c r="H344" s="193" t="s">
        <v>407</v>
      </c>
    </row>
    <row r="345" spans="1:8" ht="12">
      <c r="A345" s="191" t="s">
        <v>507</v>
      </c>
      <c r="B345" s="191" t="s">
        <v>469</v>
      </c>
      <c r="C345" s="233"/>
      <c r="D345" s="208">
        <v>229</v>
      </c>
      <c r="E345" s="255">
        <v>276</v>
      </c>
      <c r="F345" s="208">
        <v>300</v>
      </c>
      <c r="G345" s="207">
        <f t="shared" si="5"/>
        <v>-71</v>
      </c>
      <c r="H345" s="193" t="s">
        <v>407</v>
      </c>
    </row>
    <row r="346" spans="1:9" ht="12">
      <c r="A346" s="191" t="s">
        <v>190</v>
      </c>
      <c r="B346" s="191" t="s">
        <v>426</v>
      </c>
      <c r="C346" s="256"/>
      <c r="D346" s="208">
        <v>7796</v>
      </c>
      <c r="E346" s="255">
        <v>9837</v>
      </c>
      <c r="F346" s="208">
        <v>8000</v>
      </c>
      <c r="G346" s="207">
        <f t="shared" si="5"/>
        <v>-204</v>
      </c>
      <c r="H346" s="193" t="s">
        <v>407</v>
      </c>
      <c r="I346" s="246"/>
    </row>
    <row r="347" spans="1:9" ht="12">
      <c r="A347" s="191" t="s">
        <v>500</v>
      </c>
      <c r="B347" s="191" t="s">
        <v>499</v>
      </c>
      <c r="C347" s="256"/>
      <c r="D347" s="208">
        <v>1875</v>
      </c>
      <c r="E347" s="255">
        <v>50</v>
      </c>
      <c r="F347" s="208">
        <v>1000</v>
      </c>
      <c r="G347" s="207">
        <f t="shared" si="5"/>
        <v>875</v>
      </c>
      <c r="H347" s="193" t="s">
        <v>407</v>
      </c>
      <c r="I347" s="246"/>
    </row>
    <row r="348" spans="1:9" ht="12">
      <c r="A348" s="191" t="s">
        <v>191</v>
      </c>
      <c r="B348" s="191" t="s">
        <v>75</v>
      </c>
      <c r="D348" s="208">
        <v>3999</v>
      </c>
      <c r="E348" s="255">
        <v>0</v>
      </c>
      <c r="F348" s="208">
        <v>4100</v>
      </c>
      <c r="G348" s="207">
        <f t="shared" si="5"/>
        <v>-101</v>
      </c>
      <c r="H348" s="193" t="s">
        <v>407</v>
      </c>
      <c r="I348" s="246"/>
    </row>
    <row r="349" spans="1:8" ht="12">
      <c r="A349" s="191" t="s">
        <v>192</v>
      </c>
      <c r="B349" s="191" t="s">
        <v>76</v>
      </c>
      <c r="D349" s="208">
        <f>ROUND((D341+D342+D343+D344+D352)*0.0765,0)</f>
        <v>5475</v>
      </c>
      <c r="E349" s="255">
        <v>0</v>
      </c>
      <c r="F349" s="208">
        <v>4820.39</v>
      </c>
      <c r="G349" s="207">
        <f t="shared" si="5"/>
        <v>654.6099999999997</v>
      </c>
      <c r="H349" s="193" t="s">
        <v>407</v>
      </c>
    </row>
    <row r="350" spans="1:8" ht="12">
      <c r="A350" s="191" t="s">
        <v>193</v>
      </c>
      <c r="B350" s="191" t="s">
        <v>162</v>
      </c>
      <c r="D350" s="208">
        <f>(9500+9500+2400)*0.0285</f>
        <v>609.9</v>
      </c>
      <c r="E350" s="255">
        <v>0</v>
      </c>
      <c r="F350" s="208">
        <v>610</v>
      </c>
      <c r="G350" s="207">
        <f t="shared" si="5"/>
        <v>-0.10000000000002274</v>
      </c>
      <c r="H350" s="193" t="s">
        <v>407</v>
      </c>
    </row>
    <row r="351" spans="1:8" ht="12">
      <c r="A351" s="191" t="s">
        <v>194</v>
      </c>
      <c r="B351" s="191" t="s">
        <v>195</v>
      </c>
      <c r="D351" s="208">
        <v>200</v>
      </c>
      <c r="E351" s="255">
        <v>0</v>
      </c>
      <c r="F351" s="208">
        <v>200</v>
      </c>
      <c r="G351" s="207">
        <f t="shared" si="5"/>
        <v>0</v>
      </c>
      <c r="H351" s="193" t="s">
        <v>407</v>
      </c>
    </row>
    <row r="352" spans="1:8" ht="12">
      <c r="A352" s="191" t="s">
        <v>196</v>
      </c>
      <c r="B352" s="191" t="s">
        <v>78</v>
      </c>
      <c r="D352" s="208">
        <v>4500</v>
      </c>
      <c r="E352" s="255">
        <v>698</v>
      </c>
      <c r="F352" s="208">
        <v>4500</v>
      </c>
      <c r="G352" s="207">
        <f t="shared" si="5"/>
        <v>0</v>
      </c>
      <c r="H352" s="193" t="s">
        <v>407</v>
      </c>
    </row>
    <row r="353" spans="1:8" ht="12">
      <c r="A353" s="191" t="s">
        <v>197</v>
      </c>
      <c r="B353" s="191" t="s">
        <v>101</v>
      </c>
      <c r="D353" s="208">
        <v>250</v>
      </c>
      <c r="E353" s="255">
        <v>359</v>
      </c>
      <c r="F353" s="208">
        <v>400</v>
      </c>
      <c r="G353" s="207">
        <f t="shared" si="5"/>
        <v>-150</v>
      </c>
      <c r="H353" s="193" t="s">
        <v>407</v>
      </c>
    </row>
    <row r="354" spans="1:8" ht="12">
      <c r="A354" s="191" t="s">
        <v>198</v>
      </c>
      <c r="B354" s="191" t="s">
        <v>139</v>
      </c>
      <c r="D354" s="208">
        <v>1000</v>
      </c>
      <c r="E354" s="255">
        <v>0</v>
      </c>
      <c r="F354" s="208">
        <v>150</v>
      </c>
      <c r="G354" s="207">
        <f t="shared" si="5"/>
        <v>850</v>
      </c>
      <c r="H354" s="193" t="s">
        <v>407</v>
      </c>
    </row>
    <row r="355" spans="1:8" ht="12">
      <c r="A355" s="191" t="s">
        <v>199</v>
      </c>
      <c r="B355" s="191" t="s">
        <v>104</v>
      </c>
      <c r="D355" s="208">
        <v>3000</v>
      </c>
      <c r="E355" s="255">
        <v>1918</v>
      </c>
      <c r="F355" s="208">
        <v>3000</v>
      </c>
      <c r="G355" s="207">
        <f t="shared" si="5"/>
        <v>0</v>
      </c>
      <c r="H355" s="193" t="s">
        <v>407</v>
      </c>
    </row>
    <row r="356" spans="1:8" ht="12">
      <c r="A356" s="191" t="s">
        <v>200</v>
      </c>
      <c r="B356" s="191" t="s">
        <v>201</v>
      </c>
      <c r="D356" s="208">
        <v>350</v>
      </c>
      <c r="E356" s="255">
        <v>60</v>
      </c>
      <c r="F356" s="208">
        <v>350</v>
      </c>
      <c r="G356" s="207">
        <f t="shared" si="5"/>
        <v>0</v>
      </c>
      <c r="H356" s="193" t="s">
        <v>407</v>
      </c>
    </row>
    <row r="357" spans="1:8" ht="12">
      <c r="A357" s="191" t="s">
        <v>202</v>
      </c>
      <c r="B357" s="191" t="s">
        <v>203</v>
      </c>
      <c r="D357" s="208">
        <v>2500</v>
      </c>
      <c r="E357" s="255">
        <v>1213</v>
      </c>
      <c r="F357" s="208">
        <v>2500</v>
      </c>
      <c r="G357" s="207">
        <f t="shared" si="5"/>
        <v>0</v>
      </c>
      <c r="H357" s="193" t="s">
        <v>407</v>
      </c>
    </row>
    <row r="358" spans="1:8" ht="12">
      <c r="A358" s="191" t="s">
        <v>204</v>
      </c>
      <c r="B358" s="191" t="s">
        <v>205</v>
      </c>
      <c r="D358" s="208">
        <v>1200</v>
      </c>
      <c r="E358" s="255">
        <v>1821</v>
      </c>
      <c r="F358" s="208">
        <v>2500</v>
      </c>
      <c r="G358" s="207">
        <f t="shared" si="5"/>
        <v>-1300</v>
      </c>
      <c r="H358" s="193" t="s">
        <v>407</v>
      </c>
    </row>
    <row r="359" spans="1:8" ht="12">
      <c r="A359" s="191" t="s">
        <v>206</v>
      </c>
      <c r="B359" s="191" t="s">
        <v>177</v>
      </c>
      <c r="D359" s="208">
        <v>500</v>
      </c>
      <c r="E359" s="255">
        <v>918</v>
      </c>
      <c r="F359" s="208">
        <v>500</v>
      </c>
      <c r="G359" s="207">
        <f t="shared" si="5"/>
        <v>0</v>
      </c>
      <c r="H359" s="193" t="s">
        <v>407</v>
      </c>
    </row>
    <row r="360" spans="1:8" ht="12">
      <c r="A360" s="191" t="s">
        <v>458</v>
      </c>
      <c r="B360" s="191" t="s">
        <v>459</v>
      </c>
      <c r="D360" s="208">
        <v>500</v>
      </c>
      <c r="E360" s="255">
        <v>0</v>
      </c>
      <c r="F360" s="208">
        <v>500</v>
      </c>
      <c r="G360" s="207">
        <f t="shared" si="5"/>
        <v>0</v>
      </c>
      <c r="H360" s="193" t="s">
        <v>407</v>
      </c>
    </row>
    <row r="361" spans="1:8" ht="12">
      <c r="A361" s="191" t="s">
        <v>207</v>
      </c>
      <c r="B361" s="191" t="s">
        <v>53</v>
      </c>
      <c r="D361" s="208">
        <v>700</v>
      </c>
      <c r="E361" s="255">
        <v>247</v>
      </c>
      <c r="F361" s="208">
        <v>700</v>
      </c>
      <c r="G361" s="207">
        <f t="shared" si="5"/>
        <v>0</v>
      </c>
      <c r="H361" s="193" t="s">
        <v>407</v>
      </c>
    </row>
    <row r="362" spans="1:8" ht="12">
      <c r="A362" s="191" t="s">
        <v>208</v>
      </c>
      <c r="B362" s="191" t="s">
        <v>79</v>
      </c>
      <c r="D362" s="208">
        <v>1300</v>
      </c>
      <c r="E362" s="255">
        <v>0</v>
      </c>
      <c r="F362" s="208">
        <v>1300</v>
      </c>
      <c r="G362" s="207">
        <f t="shared" si="5"/>
        <v>0</v>
      </c>
      <c r="H362" s="193" t="s">
        <v>407</v>
      </c>
    </row>
    <row r="363" spans="1:8" ht="12">
      <c r="A363" s="191" t="s">
        <v>209</v>
      </c>
      <c r="B363" s="191" t="s">
        <v>210</v>
      </c>
      <c r="D363" s="208">
        <v>3000</v>
      </c>
      <c r="E363" s="255">
        <v>2243</v>
      </c>
      <c r="F363" s="208">
        <v>3000</v>
      </c>
      <c r="G363" s="207">
        <f t="shared" si="5"/>
        <v>0</v>
      </c>
      <c r="H363" s="193" t="s">
        <v>407</v>
      </c>
    </row>
    <row r="364" spans="1:8" ht="12">
      <c r="A364" s="191" t="s">
        <v>211</v>
      </c>
      <c r="B364" s="191" t="s">
        <v>59</v>
      </c>
      <c r="D364" s="208">
        <v>1100</v>
      </c>
      <c r="E364" s="255">
        <v>200</v>
      </c>
      <c r="F364" s="208">
        <v>300</v>
      </c>
      <c r="G364" s="207">
        <f t="shared" si="5"/>
        <v>800</v>
      </c>
      <c r="H364" s="193" t="s">
        <v>407</v>
      </c>
    </row>
    <row r="365" spans="1:8" ht="12">
      <c r="A365" s="191" t="s">
        <v>212</v>
      </c>
      <c r="B365" s="191" t="s">
        <v>116</v>
      </c>
      <c r="D365" s="208">
        <v>5000</v>
      </c>
      <c r="E365" s="255">
        <v>5816</v>
      </c>
      <c r="F365" s="208">
        <v>6000</v>
      </c>
      <c r="G365" s="207">
        <f t="shared" si="5"/>
        <v>-1000</v>
      </c>
      <c r="H365" s="193" t="s">
        <v>407</v>
      </c>
    </row>
    <row r="366" spans="1:8" ht="12">
      <c r="A366" s="191" t="s">
        <v>213</v>
      </c>
      <c r="B366" s="191" t="s">
        <v>214</v>
      </c>
      <c r="D366" s="208">
        <v>250</v>
      </c>
      <c r="E366" s="255">
        <v>147</v>
      </c>
      <c r="F366" s="208">
        <v>250</v>
      </c>
      <c r="G366" s="207">
        <f t="shared" si="5"/>
        <v>0</v>
      </c>
      <c r="H366" s="193" t="s">
        <v>407</v>
      </c>
    </row>
    <row r="367" spans="1:8" ht="13.5">
      <c r="A367" s="191" t="s">
        <v>215</v>
      </c>
      <c r="B367" s="191" t="s">
        <v>118</v>
      </c>
      <c r="D367" s="212">
        <f>3800+7005-2259-6110+4310+22</f>
        <v>6768</v>
      </c>
      <c r="E367" s="257">
        <f>3800+7005-2259-6110+4310+22</f>
        <v>6768</v>
      </c>
      <c r="F367" s="212">
        <v>6768</v>
      </c>
      <c r="G367" s="239">
        <f t="shared" si="5"/>
        <v>0</v>
      </c>
      <c r="H367" s="193" t="s">
        <v>407</v>
      </c>
    </row>
    <row r="368" spans="4:8" ht="12">
      <c r="D368" s="214">
        <f>SUM(D341:D367)</f>
        <v>119174.9</v>
      </c>
      <c r="E368" s="258">
        <f>SUM(E341:E367)</f>
        <v>71154</v>
      </c>
      <c r="F368" s="214">
        <f>SUM(F341:F367)</f>
        <v>117480.71</v>
      </c>
      <c r="G368" s="207">
        <f t="shared" si="5"/>
        <v>1694.1899999999878</v>
      </c>
      <c r="H368" s="193" t="s">
        <v>407</v>
      </c>
    </row>
    <row r="369" spans="3:7" s="227" customFormat="1" ht="9.75">
      <c r="C369" s="228"/>
      <c r="D369" s="240"/>
      <c r="E369" s="259"/>
      <c r="F369" s="240"/>
      <c r="G369" s="260"/>
    </row>
    <row r="370" spans="1:7" ht="12">
      <c r="A370" s="191" t="s">
        <v>216</v>
      </c>
      <c r="B370" s="191" t="s">
        <v>217</v>
      </c>
      <c r="D370" s="214"/>
      <c r="E370" s="258"/>
      <c r="F370" s="214"/>
      <c r="G370" s="261"/>
    </row>
    <row r="371" spans="3:7" s="227" customFormat="1" ht="9.75">
      <c r="C371" s="228"/>
      <c r="D371" s="240"/>
      <c r="E371" s="259"/>
      <c r="F371" s="240"/>
      <c r="G371" s="260"/>
    </row>
    <row r="372" spans="1:8" ht="12">
      <c r="A372" s="191" t="s">
        <v>218</v>
      </c>
      <c r="B372" s="191" t="s">
        <v>106</v>
      </c>
      <c r="D372" s="208">
        <v>2000</v>
      </c>
      <c r="E372" s="255">
        <v>2000</v>
      </c>
      <c r="F372" s="208">
        <v>2000</v>
      </c>
      <c r="G372" s="207">
        <f>D372-F372</f>
        <v>0</v>
      </c>
      <c r="H372" s="193" t="s">
        <v>407</v>
      </c>
    </row>
    <row r="373" spans="1:8" ht="13.5">
      <c r="A373" s="191" t="s">
        <v>219</v>
      </c>
      <c r="B373" s="191" t="s">
        <v>220</v>
      </c>
      <c r="D373" s="212">
        <v>400</v>
      </c>
      <c r="E373" s="257">
        <v>400</v>
      </c>
      <c r="F373" s="212">
        <v>400</v>
      </c>
      <c r="G373" s="239">
        <f>D373-F373</f>
        <v>0</v>
      </c>
      <c r="H373" s="193" t="s">
        <v>407</v>
      </c>
    </row>
    <row r="374" spans="4:8" ht="12">
      <c r="D374" s="214">
        <f>SUM(D372:D373)</f>
        <v>2400</v>
      </c>
      <c r="E374" s="258">
        <f>SUM(E372:E373)</f>
        <v>2400</v>
      </c>
      <c r="F374" s="214">
        <f>SUM(F372:F373)</f>
        <v>2400</v>
      </c>
      <c r="G374" s="207">
        <f>D374-F374</f>
        <v>0</v>
      </c>
      <c r="H374" s="193" t="s">
        <v>407</v>
      </c>
    </row>
    <row r="375" spans="3:7" s="227" customFormat="1" ht="9.75">
      <c r="C375" s="228"/>
      <c r="D375" s="240"/>
      <c r="E375" s="259"/>
      <c r="F375" s="240"/>
      <c r="G375" s="260"/>
    </row>
    <row r="376" spans="1:7" ht="12">
      <c r="A376" s="191" t="s">
        <v>221</v>
      </c>
      <c r="B376" s="191" t="s">
        <v>222</v>
      </c>
      <c r="D376" s="214"/>
      <c r="E376" s="258"/>
      <c r="F376" s="214"/>
      <c r="G376" s="261"/>
    </row>
    <row r="377" spans="3:7" s="227" customFormat="1" ht="9.75">
      <c r="C377" s="228"/>
      <c r="D377" s="240"/>
      <c r="E377" s="259"/>
      <c r="F377" s="240"/>
      <c r="G377" s="260"/>
    </row>
    <row r="378" spans="1:8" ht="13.5">
      <c r="A378" s="191" t="s">
        <v>223</v>
      </c>
      <c r="B378" s="191" t="s">
        <v>106</v>
      </c>
      <c r="D378" s="212">
        <v>25000</v>
      </c>
      <c r="E378" s="257">
        <v>25000</v>
      </c>
      <c r="F378" s="212">
        <v>20000</v>
      </c>
      <c r="G378" s="262">
        <f>D378-F378</f>
        <v>5000</v>
      </c>
      <c r="H378" s="193" t="s">
        <v>407</v>
      </c>
    </row>
    <row r="379" spans="4:8" ht="12">
      <c r="D379" s="214">
        <f>D378</f>
        <v>25000</v>
      </c>
      <c r="E379" s="258">
        <f>E378</f>
        <v>25000</v>
      </c>
      <c r="F379" s="214">
        <f>SUM(F378)</f>
        <v>20000</v>
      </c>
      <c r="G379" s="263">
        <f>D379-F379</f>
        <v>5000</v>
      </c>
      <c r="H379" s="193" t="s">
        <v>407</v>
      </c>
    </row>
    <row r="380" spans="3:7" s="227" customFormat="1" ht="13.5">
      <c r="C380" s="228"/>
      <c r="D380" s="240"/>
      <c r="E380" s="259"/>
      <c r="F380" s="240"/>
      <c r="G380" s="262"/>
    </row>
    <row r="381" spans="2:8" ht="12.75" thickBot="1">
      <c r="B381" s="191" t="s">
        <v>224</v>
      </c>
      <c r="D381" s="241">
        <f>D368+D374+D379</f>
        <v>146574.9</v>
      </c>
      <c r="E381" s="264">
        <f>E368+E374+E379</f>
        <v>98554</v>
      </c>
      <c r="F381" s="241">
        <f>F379+F374+F368</f>
        <v>139880.71000000002</v>
      </c>
      <c r="G381" s="263">
        <f>D381-F381</f>
        <v>6694.189999999973</v>
      </c>
      <c r="H381" s="193" t="s">
        <v>407</v>
      </c>
    </row>
    <row r="382" spans="1:8" ht="12">
      <c r="A382" s="192"/>
      <c r="B382" s="192"/>
      <c r="C382" s="192"/>
      <c r="D382" s="192"/>
      <c r="E382" s="192"/>
      <c r="F382" s="192"/>
      <c r="H382" s="191">
        <v>8</v>
      </c>
    </row>
    <row r="383" spans="1:8" ht="18">
      <c r="A383" s="265"/>
      <c r="B383" s="266" t="s">
        <v>340</v>
      </c>
      <c r="C383" s="195"/>
      <c r="D383" s="195"/>
      <c r="E383" s="195"/>
      <c r="F383" s="195"/>
      <c r="G383" s="195"/>
      <c r="H383" s="195"/>
    </row>
    <row r="385" spans="4:8" ht="13.5" thickBot="1">
      <c r="D385" s="198" t="s">
        <v>579</v>
      </c>
      <c r="E385" s="198" t="s">
        <v>580</v>
      </c>
      <c r="F385" s="198" t="s">
        <v>578</v>
      </c>
      <c r="G385" s="199" t="s">
        <v>451</v>
      </c>
      <c r="H385" s="200"/>
    </row>
    <row r="386" spans="1:8" s="265" customFormat="1" ht="13.5">
      <c r="A386" s="265" t="s">
        <v>225</v>
      </c>
      <c r="B386" s="265" t="s">
        <v>226</v>
      </c>
      <c r="C386" s="291"/>
      <c r="D386" s="292" t="s">
        <v>514</v>
      </c>
      <c r="E386" s="292" t="s">
        <v>514</v>
      </c>
      <c r="F386" s="292">
        <v>2018</v>
      </c>
      <c r="G386" s="294" t="s">
        <v>505</v>
      </c>
      <c r="H386" s="295" t="s">
        <v>478</v>
      </c>
    </row>
    <row r="387" spans="4:6" ht="12">
      <c r="D387" s="245"/>
      <c r="E387" s="245"/>
      <c r="F387" s="245"/>
    </row>
    <row r="388" spans="1:8" ht="12">
      <c r="A388" s="191" t="s">
        <v>227</v>
      </c>
      <c r="B388" s="191" t="s">
        <v>450</v>
      </c>
      <c r="C388" s="233"/>
      <c r="D388" s="208">
        <v>11600</v>
      </c>
      <c r="E388" s="208">
        <v>4932</v>
      </c>
      <c r="F388" s="208">
        <f>2434.5+2497.5</f>
        <v>4932</v>
      </c>
      <c r="G388" s="207">
        <f>D388-F388</f>
        <v>6668</v>
      </c>
      <c r="H388" s="193" t="s">
        <v>407</v>
      </c>
    </row>
    <row r="389" spans="1:8" ht="12">
      <c r="A389" s="191" t="s">
        <v>228</v>
      </c>
      <c r="B389" s="191" t="s">
        <v>49</v>
      </c>
      <c r="D389" s="208">
        <f>ROUND(D388*0.0765,0)</f>
        <v>887</v>
      </c>
      <c r="E389" s="208">
        <v>306</v>
      </c>
      <c r="F389" s="208">
        <f>151+155</f>
        <v>306</v>
      </c>
      <c r="G389" s="207">
        <f aca="true" t="shared" si="6" ref="G389:G396">D389-F389</f>
        <v>581</v>
      </c>
      <c r="H389" s="193" t="s">
        <v>407</v>
      </c>
    </row>
    <row r="390" spans="1:8" ht="12">
      <c r="A390" s="191" t="s">
        <v>229</v>
      </c>
      <c r="B390" s="191" t="s">
        <v>162</v>
      </c>
      <c r="D390" s="208">
        <f>ROUND(D388*0.0285,0)</f>
        <v>331</v>
      </c>
      <c r="E390" s="208">
        <v>143</v>
      </c>
      <c r="F390" s="208">
        <f>70+73</f>
        <v>143</v>
      </c>
      <c r="G390" s="207">
        <f t="shared" si="6"/>
        <v>188</v>
      </c>
      <c r="H390" s="193" t="s">
        <v>407</v>
      </c>
    </row>
    <row r="391" spans="1:8" ht="12">
      <c r="A391" s="191" t="s">
        <v>230</v>
      </c>
      <c r="B391" s="191" t="s">
        <v>53</v>
      </c>
      <c r="D391" s="208">
        <f>290-34</f>
        <v>256</v>
      </c>
      <c r="E391" s="208"/>
      <c r="F391" s="208"/>
      <c r="G391" s="207">
        <f t="shared" si="6"/>
        <v>256</v>
      </c>
      <c r="H391" s="193" t="s">
        <v>407</v>
      </c>
    </row>
    <row r="392" spans="1:8" ht="12">
      <c r="A392" s="191" t="s">
        <v>231</v>
      </c>
      <c r="B392" s="191" t="s">
        <v>232</v>
      </c>
      <c r="D392" s="208">
        <f>4140-85-540</f>
        <v>3515</v>
      </c>
      <c r="E392" s="208"/>
      <c r="F392" s="208"/>
      <c r="G392" s="207">
        <f t="shared" si="6"/>
        <v>3515</v>
      </c>
      <c r="H392" s="193" t="s">
        <v>407</v>
      </c>
    </row>
    <row r="393" spans="1:8" ht="12">
      <c r="A393" s="191" t="s">
        <v>233</v>
      </c>
      <c r="B393" s="191" t="s">
        <v>234</v>
      </c>
      <c r="D393" s="208">
        <v>6000</v>
      </c>
      <c r="E393" s="208">
        <v>20000</v>
      </c>
      <c r="F393" s="208">
        <v>20000</v>
      </c>
      <c r="G393" s="207">
        <f t="shared" si="6"/>
        <v>-14000</v>
      </c>
      <c r="H393" s="193" t="s">
        <v>407</v>
      </c>
    </row>
    <row r="394" spans="1:8" ht="12">
      <c r="A394" s="191" t="s">
        <v>235</v>
      </c>
      <c r="B394" s="191" t="s">
        <v>236</v>
      </c>
      <c r="D394" s="208">
        <v>7000</v>
      </c>
      <c r="E394" s="208"/>
      <c r="F394" s="208">
        <v>0</v>
      </c>
      <c r="G394" s="207">
        <f t="shared" si="6"/>
        <v>7000</v>
      </c>
      <c r="H394" s="193" t="s">
        <v>407</v>
      </c>
    </row>
    <row r="395" spans="1:8" ht="13.5">
      <c r="A395" s="191" t="s">
        <v>300</v>
      </c>
      <c r="B395" s="191" t="s">
        <v>301</v>
      </c>
      <c r="D395" s="212">
        <v>1000</v>
      </c>
      <c r="E395" s="212">
        <v>0</v>
      </c>
      <c r="F395" s="212">
        <v>0</v>
      </c>
      <c r="G395" s="239">
        <f t="shared" si="6"/>
        <v>1000</v>
      </c>
      <c r="H395" s="193" t="s">
        <v>407</v>
      </c>
    </row>
    <row r="396" spans="2:8" ht="12.75" thickBot="1">
      <c r="B396" s="191" t="s">
        <v>336</v>
      </c>
      <c r="D396" s="241">
        <f>SUM(D388:D395)</f>
        <v>30589</v>
      </c>
      <c r="E396" s="241">
        <f>SUM(E388:E395)</f>
        <v>25381</v>
      </c>
      <c r="F396" s="241">
        <f>SUM(F388:F395)</f>
        <v>25381</v>
      </c>
      <c r="G396" s="207">
        <f t="shared" si="6"/>
        <v>5208</v>
      </c>
      <c r="H396" s="193" t="s">
        <v>407</v>
      </c>
    </row>
    <row r="397" spans="4:8" ht="12">
      <c r="D397" s="242"/>
      <c r="E397" s="242"/>
      <c r="F397" s="242"/>
      <c r="G397" s="207"/>
      <c r="H397" s="193"/>
    </row>
    <row r="398" spans="4:8" ht="12">
      <c r="D398" s="242"/>
      <c r="E398" s="242"/>
      <c r="F398" s="242"/>
      <c r="G398" s="207"/>
      <c r="H398" s="193"/>
    </row>
    <row r="399" spans="1:8" ht="12">
      <c r="A399" s="191">
        <v>463</v>
      </c>
      <c r="B399" s="191" t="s">
        <v>585</v>
      </c>
      <c r="D399" s="210"/>
      <c r="E399" s="210"/>
      <c r="F399" s="267">
        <v>10000</v>
      </c>
      <c r="G399" s="243"/>
      <c r="H399" s="193" t="s">
        <v>586</v>
      </c>
    </row>
    <row r="400" spans="4:7" ht="12">
      <c r="D400" s="210"/>
      <c r="E400" s="210"/>
      <c r="F400" s="210"/>
      <c r="G400" s="243"/>
    </row>
    <row r="401" spans="1:8" ht="12">
      <c r="A401" s="192"/>
      <c r="B401" s="192"/>
      <c r="C401" s="192"/>
      <c r="D401" s="192"/>
      <c r="E401" s="192"/>
      <c r="F401" s="192"/>
      <c r="H401" s="191">
        <v>9</v>
      </c>
    </row>
    <row r="402" spans="1:8" ht="18">
      <c r="A402" s="209"/>
      <c r="B402" s="249" t="s">
        <v>340</v>
      </c>
      <c r="C402" s="195"/>
      <c r="D402" s="195"/>
      <c r="E402" s="195"/>
      <c r="F402" s="195"/>
      <c r="G402" s="195"/>
      <c r="H402" s="195"/>
    </row>
    <row r="404" spans="4:8" ht="13.5" thickBot="1">
      <c r="D404" s="198" t="s">
        <v>579</v>
      </c>
      <c r="E404" s="198" t="s">
        <v>580</v>
      </c>
      <c r="F404" s="198" t="s">
        <v>578</v>
      </c>
      <c r="G404" s="199" t="s">
        <v>451</v>
      </c>
      <c r="H404" s="200"/>
    </row>
    <row r="405" spans="1:8" ht="13.5">
      <c r="A405" s="191" t="s">
        <v>237</v>
      </c>
      <c r="B405" s="191" t="s">
        <v>238</v>
      </c>
      <c r="D405" s="201" t="s">
        <v>514</v>
      </c>
      <c r="E405" s="201" t="s">
        <v>514</v>
      </c>
      <c r="F405" s="201">
        <v>2018</v>
      </c>
      <c r="G405" s="202" t="s">
        <v>519</v>
      </c>
      <c r="H405" s="203" t="s">
        <v>478</v>
      </c>
    </row>
    <row r="406" spans="3:8" s="268" customFormat="1" ht="12">
      <c r="C406" s="269"/>
      <c r="D406" s="206"/>
      <c r="E406" s="206"/>
      <c r="F406" s="206"/>
      <c r="G406" s="270"/>
      <c r="H406" s="271"/>
    </row>
    <row r="407" spans="1:8" ht="12">
      <c r="A407" s="191" t="s">
        <v>239</v>
      </c>
      <c r="B407" s="191" t="s">
        <v>436</v>
      </c>
      <c r="D407" s="208">
        <v>3729</v>
      </c>
      <c r="E407" s="208">
        <v>0</v>
      </c>
      <c r="F407" s="208">
        <v>3729</v>
      </c>
      <c r="G407" s="207">
        <f>D407-F407</f>
        <v>0</v>
      </c>
      <c r="H407" s="193" t="s">
        <v>407</v>
      </c>
    </row>
    <row r="408" spans="1:8" ht="12">
      <c r="A408" s="191" t="s">
        <v>240</v>
      </c>
      <c r="B408" s="191" t="s">
        <v>437</v>
      </c>
      <c r="D408" s="208">
        <v>1163</v>
      </c>
      <c r="E408" s="208">
        <v>0</v>
      </c>
      <c r="F408" s="208">
        <v>1163</v>
      </c>
      <c r="G408" s="207">
        <f aca="true" t="shared" si="7" ref="G408:G417">D408-F408</f>
        <v>0</v>
      </c>
      <c r="H408" s="193" t="s">
        <v>407</v>
      </c>
    </row>
    <row r="409" spans="1:8" ht="12">
      <c r="A409" s="191" t="s">
        <v>241</v>
      </c>
      <c r="B409" s="191" t="s">
        <v>242</v>
      </c>
      <c r="D409" s="208">
        <v>2452</v>
      </c>
      <c r="E409" s="208">
        <v>0</v>
      </c>
      <c r="F409" s="208">
        <v>2452</v>
      </c>
      <c r="G409" s="207">
        <f t="shared" si="7"/>
        <v>0</v>
      </c>
      <c r="H409" s="193" t="s">
        <v>407</v>
      </c>
    </row>
    <row r="410" spans="1:8" ht="12">
      <c r="A410" s="191" t="s">
        <v>243</v>
      </c>
      <c r="B410" s="191" t="s">
        <v>244</v>
      </c>
      <c r="D410" s="208">
        <v>1996</v>
      </c>
      <c r="E410" s="208">
        <v>6081</v>
      </c>
      <c r="F410" s="208">
        <v>1996</v>
      </c>
      <c r="G410" s="207">
        <f t="shared" si="7"/>
        <v>0</v>
      </c>
      <c r="H410" s="193" t="s">
        <v>407</v>
      </c>
    </row>
    <row r="411" spans="1:8" ht="12">
      <c r="A411" s="191" t="s">
        <v>245</v>
      </c>
      <c r="B411" s="191" t="s">
        <v>246</v>
      </c>
      <c r="D411" s="208">
        <v>4208</v>
      </c>
      <c r="E411" s="208">
        <v>0</v>
      </c>
      <c r="F411" s="208">
        <v>4208</v>
      </c>
      <c r="G411" s="207">
        <f t="shared" si="7"/>
        <v>0</v>
      </c>
      <c r="H411" s="193" t="s">
        <v>407</v>
      </c>
    </row>
    <row r="412" spans="1:8" ht="12">
      <c r="A412" s="191" t="s">
        <v>247</v>
      </c>
      <c r="B412" s="191" t="s">
        <v>438</v>
      </c>
      <c r="C412" s="233"/>
      <c r="D412" s="208">
        <v>29663</v>
      </c>
      <c r="E412" s="208">
        <v>12679</v>
      </c>
      <c r="F412" s="208">
        <v>29663</v>
      </c>
      <c r="G412" s="207">
        <f t="shared" si="7"/>
        <v>0</v>
      </c>
      <c r="H412" s="193" t="s">
        <v>407</v>
      </c>
    </row>
    <row r="413" spans="1:8" ht="12">
      <c r="A413" s="191" t="s">
        <v>248</v>
      </c>
      <c r="B413" s="191" t="s">
        <v>292</v>
      </c>
      <c r="D413" s="208">
        <f>5267-844</f>
        <v>4423</v>
      </c>
      <c r="E413" s="208">
        <v>0</v>
      </c>
      <c r="F413" s="208">
        <v>4423</v>
      </c>
      <c r="G413" s="207">
        <f t="shared" si="7"/>
        <v>0</v>
      </c>
      <c r="H413" s="193" t="s">
        <v>407</v>
      </c>
    </row>
    <row r="414" spans="1:8" ht="12">
      <c r="A414" s="191" t="s">
        <v>249</v>
      </c>
      <c r="B414" s="191" t="s">
        <v>439</v>
      </c>
      <c r="D414" s="208">
        <v>8885</v>
      </c>
      <c r="E414" s="208">
        <v>250</v>
      </c>
      <c r="F414" s="208">
        <v>8885</v>
      </c>
      <c r="G414" s="207">
        <f t="shared" si="7"/>
        <v>0</v>
      </c>
      <c r="H414" s="193" t="s">
        <v>407</v>
      </c>
    </row>
    <row r="415" spans="1:8" ht="12">
      <c r="A415" s="191" t="s">
        <v>250</v>
      </c>
      <c r="B415" s="191" t="s">
        <v>502</v>
      </c>
      <c r="D415" s="208">
        <v>80</v>
      </c>
      <c r="E415" s="208">
        <v>0</v>
      </c>
      <c r="F415" s="208">
        <v>1000</v>
      </c>
      <c r="G415" s="207">
        <f t="shared" si="7"/>
        <v>-920</v>
      </c>
      <c r="H415" s="193" t="s">
        <v>407</v>
      </c>
    </row>
    <row r="416" spans="1:8" ht="13.5">
      <c r="A416" s="191" t="s">
        <v>251</v>
      </c>
      <c r="B416" s="191" t="s">
        <v>347</v>
      </c>
      <c r="D416" s="212">
        <v>200</v>
      </c>
      <c r="E416" s="212">
        <v>100</v>
      </c>
      <c r="F416" s="212">
        <v>350</v>
      </c>
      <c r="G416" s="239">
        <f t="shared" si="7"/>
        <v>-150</v>
      </c>
      <c r="H416" s="193" t="s">
        <v>583</v>
      </c>
    </row>
    <row r="417" spans="2:8" ht="12">
      <c r="B417" s="191" t="s">
        <v>337</v>
      </c>
      <c r="D417" s="214">
        <f>SUM(D407:D416)</f>
        <v>56799</v>
      </c>
      <c r="E417" s="214">
        <f>SUM(E407:E416)</f>
        <v>19110</v>
      </c>
      <c r="F417" s="214">
        <f>SUM(F407:F416)</f>
        <v>57869</v>
      </c>
      <c r="G417" s="207">
        <f t="shared" si="7"/>
        <v>-1070</v>
      </c>
      <c r="H417" s="193" t="s">
        <v>407</v>
      </c>
    </row>
    <row r="418" spans="4:6" ht="12">
      <c r="D418" s="245"/>
      <c r="E418" s="245"/>
      <c r="F418" s="245"/>
    </row>
    <row r="419" spans="4:6" ht="12">
      <c r="D419" s="245"/>
      <c r="E419" s="245"/>
      <c r="F419" s="245"/>
    </row>
    <row r="420" spans="4:6" ht="12">
      <c r="D420" s="245"/>
      <c r="E420" s="245"/>
      <c r="F420" s="245"/>
    </row>
    <row r="421" spans="1:8" ht="12">
      <c r="A421" s="272" t="s">
        <v>326</v>
      </c>
      <c r="B421" s="191" t="s">
        <v>433</v>
      </c>
      <c r="D421" s="214">
        <f>6975-1545-710</f>
        <v>4720</v>
      </c>
      <c r="E421" s="214">
        <f>6975-1545-710</f>
        <v>4720</v>
      </c>
      <c r="F421" s="214">
        <v>4720</v>
      </c>
      <c r="G421" s="207">
        <f>D421-F421</f>
        <v>0</v>
      </c>
      <c r="H421" s="193" t="s">
        <v>407</v>
      </c>
    </row>
    <row r="422" spans="4:7" ht="12">
      <c r="D422" s="214"/>
      <c r="E422" s="214"/>
      <c r="F422" s="214"/>
      <c r="G422" s="261"/>
    </row>
    <row r="423" spans="4:7" ht="12">
      <c r="D423" s="214"/>
      <c r="E423" s="214"/>
      <c r="F423" s="214"/>
      <c r="G423" s="261"/>
    </row>
    <row r="424" spans="4:7" ht="12">
      <c r="D424" s="214"/>
      <c r="E424" s="214"/>
      <c r="F424" s="214"/>
      <c r="G424" s="261"/>
    </row>
    <row r="425" spans="4:7" ht="12">
      <c r="D425" s="214"/>
      <c r="E425" s="214"/>
      <c r="F425" s="214"/>
      <c r="G425" s="261"/>
    </row>
    <row r="426" spans="2:8" ht="12">
      <c r="B426" s="191" t="s">
        <v>252</v>
      </c>
      <c r="D426" s="214">
        <f>D155</f>
        <v>776938</v>
      </c>
      <c r="E426" s="214">
        <f>E147</f>
        <v>91099.00000000001</v>
      </c>
      <c r="F426" s="214">
        <f>F155</f>
        <v>784257.5</v>
      </c>
      <c r="G426" s="207">
        <f>D426-F426</f>
        <v>-7319.5</v>
      </c>
      <c r="H426" s="193" t="s">
        <v>407</v>
      </c>
    </row>
    <row r="427" spans="2:8" ht="13.5">
      <c r="B427" s="191" t="s">
        <v>253</v>
      </c>
      <c r="D427" s="251">
        <f>D201+D226+D272+D296+D311+D330+D381+D396+D417+D421+D304+1</f>
        <v>795639.7250000001</v>
      </c>
      <c r="E427" s="251">
        <f>E201+E226+E272+E296+E311+E330+E381+E396+E417+E421+E304+1</f>
        <v>535327.34</v>
      </c>
      <c r="F427" s="251">
        <f>F421+F417+F399+F396+F381+F330+F311+F304+F296+F272+F226+F201</f>
        <v>784257.97</v>
      </c>
      <c r="G427" s="207">
        <f>D427-F427</f>
        <v>11381.755000000121</v>
      </c>
      <c r="H427" s="193" t="s">
        <v>407</v>
      </c>
    </row>
    <row r="428" spans="2:8" ht="12.75" thickBot="1">
      <c r="B428" s="191" t="s">
        <v>254</v>
      </c>
      <c r="D428" s="241">
        <f>D426-D427</f>
        <v>-18701.725000000093</v>
      </c>
      <c r="E428" s="241">
        <f>E426-E427</f>
        <v>-444228.33999999997</v>
      </c>
      <c r="F428" s="241">
        <f>F426-F427</f>
        <v>-0.4699999999720603</v>
      </c>
      <c r="G428" s="207">
        <f>D428-F428</f>
        <v>-18701.25500000012</v>
      </c>
      <c r="H428" s="193" t="s">
        <v>407</v>
      </c>
    </row>
    <row r="429" spans="4:8" ht="12">
      <c r="D429" s="242"/>
      <c r="E429" s="242"/>
      <c r="F429" s="242"/>
      <c r="G429" s="207"/>
      <c r="H429" s="193"/>
    </row>
    <row r="430" spans="4:7" ht="12">
      <c r="D430" s="273"/>
      <c r="E430" s="273"/>
      <c r="F430" s="273"/>
      <c r="G430" s="274"/>
    </row>
    <row r="431" spans="4:7" ht="12">
      <c r="D431" s="275"/>
      <c r="E431" s="275"/>
      <c r="F431" s="275"/>
      <c r="G431" s="274"/>
    </row>
    <row r="432" spans="4:7" ht="12">
      <c r="D432" s="275"/>
      <c r="E432" s="275"/>
      <c r="F432" s="275"/>
      <c r="G432" s="274"/>
    </row>
    <row r="433" spans="4:7" ht="12">
      <c r="D433" s="210"/>
      <c r="E433" s="210"/>
      <c r="F433" s="210"/>
      <c r="G433" s="243"/>
    </row>
    <row r="434" spans="4:7" ht="12">
      <c r="D434" s="210"/>
      <c r="E434" s="210"/>
      <c r="F434" s="210"/>
      <c r="G434" s="243"/>
    </row>
    <row r="435" spans="1:8" ht="12">
      <c r="A435" s="192"/>
      <c r="B435" s="192"/>
      <c r="C435" s="192"/>
      <c r="D435" s="276"/>
      <c r="E435" s="276"/>
      <c r="F435" s="276"/>
      <c r="G435" s="277"/>
      <c r="H435" s="191">
        <v>10</v>
      </c>
    </row>
    <row r="436" spans="1:8" ht="18">
      <c r="A436" s="209"/>
      <c r="B436" s="266" t="s">
        <v>341</v>
      </c>
      <c r="C436" s="278"/>
      <c r="D436" s="278"/>
      <c r="E436" s="253"/>
      <c r="F436" s="253"/>
      <c r="G436" s="195"/>
      <c r="H436" s="195"/>
    </row>
    <row r="437" spans="4:6" ht="12">
      <c r="D437" s="252"/>
      <c r="E437" s="252"/>
      <c r="F437" s="252"/>
    </row>
    <row r="438" spans="4:8" ht="13.5" thickBot="1">
      <c r="D438" s="198" t="s">
        <v>579</v>
      </c>
      <c r="E438" s="198" t="s">
        <v>580</v>
      </c>
      <c r="F438" s="198" t="s">
        <v>578</v>
      </c>
      <c r="G438" s="199" t="s">
        <v>451</v>
      </c>
      <c r="H438" s="200"/>
    </row>
    <row r="439" spans="1:8" ht="13.5">
      <c r="A439" s="191" t="s">
        <v>255</v>
      </c>
      <c r="D439" s="201" t="s">
        <v>514</v>
      </c>
      <c r="E439" s="201" t="s">
        <v>514</v>
      </c>
      <c r="F439" s="201">
        <v>2018</v>
      </c>
      <c r="G439" s="202" t="s">
        <v>519</v>
      </c>
      <c r="H439" s="203" t="s">
        <v>478</v>
      </c>
    </row>
    <row r="440" spans="4:6" ht="12">
      <c r="D440" s="215"/>
      <c r="E440" s="215"/>
      <c r="F440" s="215"/>
    </row>
    <row r="441" spans="1:8" ht="12">
      <c r="A441" s="191" t="s">
        <v>0</v>
      </c>
      <c r="B441" s="191" t="s">
        <v>432</v>
      </c>
      <c r="D441" s="208">
        <v>21102.14</v>
      </c>
      <c r="E441" s="208">
        <v>21102.14</v>
      </c>
      <c r="F441" s="208">
        <v>22935</v>
      </c>
      <c r="G441" s="207">
        <f>D441-F441</f>
        <v>-1832.8600000000006</v>
      </c>
      <c r="H441" s="193" t="s">
        <v>407</v>
      </c>
    </row>
    <row r="442" spans="1:8" ht="12">
      <c r="A442" s="191" t="s">
        <v>1</v>
      </c>
      <c r="B442" s="191" t="s">
        <v>2</v>
      </c>
      <c r="D442" s="208">
        <v>1017.81</v>
      </c>
      <c r="E442" s="208">
        <f>231+987</f>
        <v>1218</v>
      </c>
      <c r="F442" s="208"/>
      <c r="G442" s="207">
        <f>D442-F442</f>
        <v>1017.81</v>
      </c>
      <c r="H442" s="193" t="s">
        <v>407</v>
      </c>
    </row>
    <row r="443" spans="1:8" ht="13.5">
      <c r="A443" s="191" t="s">
        <v>19</v>
      </c>
      <c r="B443" s="191" t="s">
        <v>20</v>
      </c>
      <c r="D443" s="212">
        <v>0.68</v>
      </c>
      <c r="E443" s="257">
        <v>19.47</v>
      </c>
      <c r="F443" s="212">
        <v>20</v>
      </c>
      <c r="G443" s="239">
        <f>D443-F443</f>
        <v>-19.32</v>
      </c>
      <c r="H443" s="193" t="s">
        <v>407</v>
      </c>
    </row>
    <row r="444" spans="4:8" ht="12">
      <c r="D444" s="214">
        <f>SUM(D441:D443)</f>
        <v>22120.63</v>
      </c>
      <c r="E444" s="214">
        <f>SUM(E441:E443)</f>
        <v>22339.61</v>
      </c>
      <c r="F444" s="214">
        <f>SUM(F441:F443)</f>
        <v>22955</v>
      </c>
      <c r="G444" s="207">
        <f>D444-F444</f>
        <v>-834.369999999999</v>
      </c>
      <c r="H444" s="193" t="s">
        <v>407</v>
      </c>
    </row>
    <row r="445" spans="4:7" ht="12">
      <c r="D445" s="279"/>
      <c r="E445" s="279"/>
      <c r="F445" s="279"/>
      <c r="G445" s="261"/>
    </row>
    <row r="446" spans="1:7" ht="12">
      <c r="A446" s="191" t="s">
        <v>256</v>
      </c>
      <c r="D446" s="279"/>
      <c r="E446" s="279"/>
      <c r="F446" s="279"/>
      <c r="G446" s="261"/>
    </row>
    <row r="447" spans="4:7" ht="12">
      <c r="D447" s="279"/>
      <c r="E447" s="279"/>
      <c r="F447" s="279"/>
      <c r="G447" s="261"/>
    </row>
    <row r="448" spans="1:8" ht="12">
      <c r="A448" s="191" t="s">
        <v>258</v>
      </c>
      <c r="B448" s="191" t="s">
        <v>259</v>
      </c>
      <c r="D448" s="234">
        <v>9243</v>
      </c>
      <c r="E448" s="234">
        <f>778.66+779.96+781.26+782.56+783.86+785.17+786.48+787.79+789.1+790.42+791.74+793.06</f>
        <v>9430.060000000001</v>
      </c>
      <c r="F448" s="234">
        <f>794.38+795.7+797.03+798.36+799.69+801.02+802.35+803.69+805.03+806.37+807.72+809.06</f>
        <v>9620.4</v>
      </c>
      <c r="G448" s="207">
        <f>D448-F448</f>
        <v>-377.39999999999964</v>
      </c>
      <c r="H448" s="193" t="s">
        <v>407</v>
      </c>
    </row>
    <row r="449" spans="1:8" ht="12">
      <c r="A449" s="191" t="s">
        <v>260</v>
      </c>
      <c r="B449" s="191" t="s">
        <v>257</v>
      </c>
      <c r="D449" s="208">
        <v>2341</v>
      </c>
      <c r="E449" s="208">
        <f>186.6+185.3+184+182.7+181.4+180.09+178.76+177.47+176.16+174.84+173.52+172.2</f>
        <v>2153.04</v>
      </c>
      <c r="F449" s="208">
        <f>170.88+169.56+168.23+166.9+165.57+164.24+162.91+161.57+160.23+158.89+157.54+156.2</f>
        <v>1962.72</v>
      </c>
      <c r="G449" s="207">
        <f>D449-F449</f>
        <v>378.28</v>
      </c>
      <c r="H449" s="193" t="s">
        <v>407</v>
      </c>
    </row>
    <row r="450" spans="2:8" ht="13.5">
      <c r="B450" s="191" t="s">
        <v>327</v>
      </c>
      <c r="D450" s="251">
        <f>D444-D448-D449</f>
        <v>10536.630000000001</v>
      </c>
      <c r="E450" s="251">
        <f>E444-E448-E449</f>
        <v>10756.509999999998</v>
      </c>
      <c r="F450" s="251">
        <f>F444-F448-F449</f>
        <v>11371.880000000001</v>
      </c>
      <c r="G450" s="239">
        <f>D450-F450</f>
        <v>-835.25</v>
      </c>
      <c r="H450" s="193" t="s">
        <v>407</v>
      </c>
    </row>
    <row r="451" spans="4:8" ht="12.75" thickBot="1">
      <c r="D451" s="241">
        <f>SUM(D448:D450)</f>
        <v>22120.63</v>
      </c>
      <c r="E451" s="241">
        <f>SUM(E448:E450)</f>
        <v>22339.61</v>
      </c>
      <c r="F451" s="241">
        <f>SUM(F448:F450)</f>
        <v>22955</v>
      </c>
      <c r="G451" s="207">
        <f>D451-F451</f>
        <v>-834.369999999999</v>
      </c>
      <c r="H451" s="193" t="s">
        <v>407</v>
      </c>
    </row>
    <row r="452" spans="4:6" ht="12">
      <c r="D452" s="280"/>
      <c r="E452" s="280"/>
      <c r="F452" s="280"/>
    </row>
    <row r="453" spans="4:6" ht="12">
      <c r="D453" s="280"/>
      <c r="E453" s="280"/>
      <c r="F453" s="280"/>
    </row>
    <row r="454" spans="4:6" ht="12">
      <c r="D454" s="280"/>
      <c r="E454" s="280"/>
      <c r="F454" s="280"/>
    </row>
    <row r="455" spans="4:6" ht="12">
      <c r="D455" s="280"/>
      <c r="E455" s="280"/>
      <c r="F455" s="280"/>
    </row>
    <row r="456" spans="4:6" ht="12">
      <c r="D456" s="252"/>
      <c r="E456" s="252"/>
      <c r="F456" s="252"/>
    </row>
    <row r="457" spans="1:8" ht="18">
      <c r="A457" s="209"/>
      <c r="B457" s="266" t="s">
        <v>415</v>
      </c>
      <c r="C457" s="278"/>
      <c r="D457" s="253"/>
      <c r="E457" s="253"/>
      <c r="F457" s="253"/>
      <c r="G457" s="195"/>
      <c r="H457" s="195"/>
    </row>
    <row r="458" spans="1:6" ht="12">
      <c r="A458" s="209"/>
      <c r="B458" s="209"/>
      <c r="D458" s="252"/>
      <c r="E458" s="252"/>
      <c r="F458" s="252"/>
    </row>
    <row r="459" spans="4:8" ht="13.5" thickBot="1">
      <c r="D459" s="198" t="s">
        <v>579</v>
      </c>
      <c r="E459" s="198" t="s">
        <v>580</v>
      </c>
      <c r="F459" s="198" t="s">
        <v>578</v>
      </c>
      <c r="G459" s="199" t="s">
        <v>451</v>
      </c>
      <c r="H459" s="200"/>
    </row>
    <row r="460" spans="1:8" ht="13.5">
      <c r="A460" s="191" t="s">
        <v>255</v>
      </c>
      <c r="D460" s="201" t="s">
        <v>514</v>
      </c>
      <c r="E460" s="201" t="s">
        <v>514</v>
      </c>
      <c r="F460" s="201">
        <v>2018</v>
      </c>
      <c r="G460" s="202" t="s">
        <v>505</v>
      </c>
      <c r="H460" s="203" t="s">
        <v>478</v>
      </c>
    </row>
    <row r="461" spans="4:6" ht="12">
      <c r="D461" s="215"/>
      <c r="E461" s="215"/>
      <c r="F461" s="215"/>
    </row>
    <row r="462" spans="1:8" ht="12">
      <c r="A462" s="191" t="s">
        <v>19</v>
      </c>
      <c r="B462" s="191" t="s">
        <v>20</v>
      </c>
      <c r="D462" s="208">
        <v>0</v>
      </c>
      <c r="E462" s="208">
        <v>126.77</v>
      </c>
      <c r="F462" s="208">
        <v>130</v>
      </c>
      <c r="G462" s="207">
        <f>E462-F462</f>
        <v>-3.230000000000004</v>
      </c>
      <c r="H462" s="193" t="s">
        <v>407</v>
      </c>
    </row>
    <row r="463" spans="1:8" ht="13.5">
      <c r="A463" s="191" t="s">
        <v>339</v>
      </c>
      <c r="B463" s="191" t="s">
        <v>261</v>
      </c>
      <c r="D463" s="212">
        <f>61162+160</f>
        <v>61322</v>
      </c>
      <c r="E463" s="212">
        <v>66778.86</v>
      </c>
      <c r="F463" s="212">
        <v>68659.28</v>
      </c>
      <c r="G463" s="239">
        <f>E463-F463</f>
        <v>-1880.4199999999983</v>
      </c>
      <c r="H463" s="193" t="s">
        <v>407</v>
      </c>
    </row>
    <row r="464" spans="4:8" ht="12">
      <c r="D464" s="214">
        <f>SUM(D462:D463)</f>
        <v>61322</v>
      </c>
      <c r="E464" s="214">
        <f>SUM(E462:E463)</f>
        <v>66905.63</v>
      </c>
      <c r="F464" s="214">
        <f>SUM(F462:F463)</f>
        <v>68789.28</v>
      </c>
      <c r="G464" s="207">
        <f>E464-F464</f>
        <v>-1883.6499999999942</v>
      </c>
      <c r="H464" s="193" t="s">
        <v>407</v>
      </c>
    </row>
    <row r="465" spans="4:7" ht="12">
      <c r="D465" s="214"/>
      <c r="E465" s="214"/>
      <c r="F465" s="214"/>
      <c r="G465" s="261"/>
    </row>
    <row r="466" spans="1:7" ht="12">
      <c r="A466" s="191" t="s">
        <v>256</v>
      </c>
      <c r="D466" s="214"/>
      <c r="E466" s="214"/>
      <c r="F466" s="214"/>
      <c r="G466" s="261"/>
    </row>
    <row r="467" spans="4:7" ht="12">
      <c r="D467" s="214"/>
      <c r="E467" s="214"/>
      <c r="F467" s="214"/>
      <c r="G467" s="261"/>
    </row>
    <row r="468" spans="1:8" ht="12">
      <c r="A468" s="250" t="s">
        <v>263</v>
      </c>
      <c r="B468" s="191" t="s">
        <v>427</v>
      </c>
      <c r="D468" s="208">
        <v>8800</v>
      </c>
      <c r="E468" s="208">
        <v>8800</v>
      </c>
      <c r="F468" s="208">
        <f>8800+3734</f>
        <v>12534</v>
      </c>
      <c r="G468" s="207">
        <f>E468-F468</f>
        <v>-3734</v>
      </c>
      <c r="H468" s="193" t="s">
        <v>407</v>
      </c>
    </row>
    <row r="469" spans="1:8" ht="12">
      <c r="A469" s="272" t="s">
        <v>399</v>
      </c>
      <c r="B469" s="191" t="s">
        <v>262</v>
      </c>
      <c r="D469" s="208">
        <f>26721-378+8275+9276</f>
        <v>43894</v>
      </c>
      <c r="E469" s="208">
        <v>19585.45</v>
      </c>
      <c r="F469" s="208">
        <f>26721-378+8275+9276</f>
        <v>43894</v>
      </c>
      <c r="G469" s="207">
        <f>E469-F469</f>
        <v>-24308.55</v>
      </c>
      <c r="H469" s="193" t="s">
        <v>407</v>
      </c>
    </row>
    <row r="470" spans="1:8" ht="13.5">
      <c r="A470" s="250" t="s">
        <v>397</v>
      </c>
      <c r="B470" s="191" t="s">
        <v>338</v>
      </c>
      <c r="D470" s="251">
        <v>8628</v>
      </c>
      <c r="E470" s="251">
        <v>8628</v>
      </c>
      <c r="F470" s="251">
        <f>8628+3733</f>
        <v>12361</v>
      </c>
      <c r="G470" s="239">
        <f>E470-F470</f>
        <v>-3733</v>
      </c>
      <c r="H470" s="193" t="s">
        <v>407</v>
      </c>
    </row>
    <row r="471" spans="4:8" ht="12.75" thickBot="1">
      <c r="D471" s="241">
        <f>SUM(D468:D470)</f>
        <v>61322</v>
      </c>
      <c r="E471" s="241">
        <f>SUM(E468:E470)</f>
        <v>37013.45</v>
      </c>
      <c r="F471" s="241">
        <f>SUM(F468:F470)</f>
        <v>68789</v>
      </c>
      <c r="G471" s="207">
        <f>E471-F471</f>
        <v>-31775.550000000003</v>
      </c>
      <c r="H471" s="193" t="s">
        <v>407</v>
      </c>
    </row>
    <row r="472" spans="4:6" ht="12">
      <c r="D472" s="252"/>
      <c r="E472" s="252"/>
      <c r="F472" s="252"/>
    </row>
    <row r="473" spans="4:6" ht="12">
      <c r="D473" s="252"/>
      <c r="E473" s="252"/>
      <c r="F473" s="252"/>
    </row>
    <row r="474" spans="4:7" ht="12">
      <c r="D474" s="210"/>
      <c r="E474" s="210"/>
      <c r="F474" s="210"/>
      <c r="G474" s="243"/>
    </row>
    <row r="475" spans="4:7" ht="12">
      <c r="D475" s="210"/>
      <c r="E475" s="210"/>
      <c r="F475" s="210"/>
      <c r="G475" s="243"/>
    </row>
    <row r="476" spans="1:8" ht="12">
      <c r="A476" s="192"/>
      <c r="B476" s="192"/>
      <c r="C476" s="192"/>
      <c r="D476" s="281"/>
      <c r="E476" s="281"/>
      <c r="F476" s="281"/>
      <c r="H476" s="191">
        <v>11</v>
      </c>
    </row>
    <row r="477" spans="1:8" ht="18">
      <c r="A477" s="209"/>
      <c r="B477" s="266" t="s">
        <v>343</v>
      </c>
      <c r="C477" s="278"/>
      <c r="D477" s="278"/>
      <c r="E477" s="253"/>
      <c r="F477" s="253"/>
      <c r="G477" s="195"/>
      <c r="H477" s="195"/>
    </row>
    <row r="478" spans="1:6" ht="12">
      <c r="A478" s="209"/>
      <c r="B478" s="209"/>
      <c r="D478" s="252"/>
      <c r="E478" s="252"/>
      <c r="F478" s="252"/>
    </row>
    <row r="479" spans="4:8" ht="13.5" thickBot="1">
      <c r="D479" s="198" t="s">
        <v>579</v>
      </c>
      <c r="E479" s="198" t="s">
        <v>580</v>
      </c>
      <c r="F479" s="198" t="s">
        <v>578</v>
      </c>
      <c r="G479" s="199" t="s">
        <v>451</v>
      </c>
      <c r="H479" s="200"/>
    </row>
    <row r="480" spans="1:8" ht="13.5">
      <c r="A480" s="191" t="s">
        <v>255</v>
      </c>
      <c r="D480" s="201" t="s">
        <v>514</v>
      </c>
      <c r="E480" s="201" t="s">
        <v>514</v>
      </c>
      <c r="F480" s="201">
        <v>2018</v>
      </c>
      <c r="G480" s="202" t="s">
        <v>505</v>
      </c>
      <c r="H480" s="203" t="s">
        <v>478</v>
      </c>
    </row>
    <row r="481" spans="4:6" ht="12">
      <c r="D481" s="215"/>
      <c r="E481" s="215"/>
      <c r="F481" s="215"/>
    </row>
    <row r="482" spans="1:8" ht="12">
      <c r="A482" s="191" t="s">
        <v>0</v>
      </c>
      <c r="B482" s="191" t="s">
        <v>476</v>
      </c>
      <c r="D482" s="208">
        <f>43253+21554</f>
        <v>64807</v>
      </c>
      <c r="E482" s="208">
        <f>43253+21554</f>
        <v>64807</v>
      </c>
      <c r="F482" s="208">
        <v>68805</v>
      </c>
      <c r="G482" s="207">
        <f>D482-F482</f>
        <v>-3998</v>
      </c>
      <c r="H482" s="193" t="s">
        <v>407</v>
      </c>
    </row>
    <row r="483" spans="1:8" ht="12">
      <c r="A483" s="191" t="s">
        <v>1</v>
      </c>
      <c r="B483" s="191" t="s">
        <v>2</v>
      </c>
      <c r="D483" s="208">
        <f>2467+576.36</f>
        <v>3043.36</v>
      </c>
      <c r="E483" s="208">
        <f>2467+576.36</f>
        <v>3043.36</v>
      </c>
      <c r="F483" s="208"/>
      <c r="G483" s="207">
        <f>D483-F483</f>
        <v>3043.36</v>
      </c>
      <c r="H483" s="193" t="s">
        <v>407</v>
      </c>
    </row>
    <row r="484" spans="1:8" ht="13.5">
      <c r="A484" s="191" t="s">
        <v>19</v>
      </c>
      <c r="B484" s="191" t="s">
        <v>20</v>
      </c>
      <c r="D484" s="212">
        <v>0</v>
      </c>
      <c r="E484" s="212">
        <v>0</v>
      </c>
      <c r="F484" s="212">
        <v>0</v>
      </c>
      <c r="G484" s="239">
        <f>D484-F484</f>
        <v>0</v>
      </c>
      <c r="H484" s="193" t="s">
        <v>407</v>
      </c>
    </row>
    <row r="485" spans="4:8" ht="12">
      <c r="D485" s="214">
        <f>SUM(D482:D484)</f>
        <v>67850.36</v>
      </c>
      <c r="E485" s="214">
        <f>SUM(E482:E484)</f>
        <v>67850.36</v>
      </c>
      <c r="F485" s="214">
        <f>SUM(F482:F484)</f>
        <v>68805</v>
      </c>
      <c r="G485" s="207">
        <f>D485-F485</f>
        <v>-954.6399999999994</v>
      </c>
      <c r="H485" s="193" t="s">
        <v>407</v>
      </c>
    </row>
    <row r="486" spans="4:7" ht="12">
      <c r="D486" s="214"/>
      <c r="E486" s="214"/>
      <c r="F486" s="214"/>
      <c r="G486" s="261"/>
    </row>
    <row r="487" spans="1:7" ht="12">
      <c r="A487" s="191" t="s">
        <v>256</v>
      </c>
      <c r="D487" s="214"/>
      <c r="E487" s="214"/>
      <c r="F487" s="214"/>
      <c r="G487" s="261"/>
    </row>
    <row r="488" spans="4:7" ht="12">
      <c r="D488" s="214"/>
      <c r="E488" s="214"/>
      <c r="F488" s="214"/>
      <c r="G488" s="261"/>
    </row>
    <row r="489" spans="1:8" ht="12">
      <c r="A489" s="250" t="s">
        <v>397</v>
      </c>
      <c r="B489" s="191" t="s">
        <v>338</v>
      </c>
      <c r="D489" s="208">
        <f>11540+1765-50+3009+21554-40+501+29581-10</f>
        <v>67850</v>
      </c>
      <c r="E489" s="208">
        <f>11540+1765-50+3009+21554-40+501+29581-10</f>
        <v>67850</v>
      </c>
      <c r="F489" s="208">
        <v>68754</v>
      </c>
      <c r="G489" s="207">
        <f>D489-F489</f>
        <v>-904</v>
      </c>
      <c r="H489" s="193" t="s">
        <v>407</v>
      </c>
    </row>
    <row r="490" spans="1:8" ht="12">
      <c r="A490" s="250" t="s">
        <v>258</v>
      </c>
      <c r="B490" s="191" t="s">
        <v>418</v>
      </c>
      <c r="D490" s="208">
        <v>0</v>
      </c>
      <c r="E490" s="208">
        <v>0</v>
      </c>
      <c r="F490" s="208">
        <v>0</v>
      </c>
      <c r="G490" s="207">
        <f>D490-F490</f>
        <v>0</v>
      </c>
      <c r="H490" s="193" t="s">
        <v>407</v>
      </c>
    </row>
    <row r="491" spans="1:8" ht="13.5">
      <c r="A491" s="250" t="s">
        <v>260</v>
      </c>
      <c r="B491" s="191" t="s">
        <v>419</v>
      </c>
      <c r="D491" s="212">
        <v>0</v>
      </c>
      <c r="E491" s="212">
        <v>0</v>
      </c>
      <c r="F491" s="212">
        <v>0</v>
      </c>
      <c r="G491" s="239">
        <f>D491-F491</f>
        <v>0</v>
      </c>
      <c r="H491" s="193" t="s">
        <v>407</v>
      </c>
    </row>
    <row r="492" spans="4:8" ht="12.75" thickBot="1">
      <c r="D492" s="241">
        <f>SUM(D489:D491)</f>
        <v>67850</v>
      </c>
      <c r="E492" s="241">
        <f>SUM(E489:E491)</f>
        <v>67850</v>
      </c>
      <c r="F492" s="241">
        <f>SUM(F489:F491)</f>
        <v>68754</v>
      </c>
      <c r="G492" s="207">
        <f>D492-F492</f>
        <v>-904</v>
      </c>
      <c r="H492" s="193" t="s">
        <v>407</v>
      </c>
    </row>
    <row r="497" spans="4:7" ht="12">
      <c r="D497" s="210"/>
      <c r="E497" s="210"/>
      <c r="F497" s="210"/>
      <c r="G497" s="243"/>
    </row>
    <row r="498" spans="1:8" ht="18">
      <c r="A498" s="209"/>
      <c r="B498" s="266" t="s">
        <v>344</v>
      </c>
      <c r="C498" s="278"/>
      <c r="D498" s="195"/>
      <c r="E498" s="195"/>
      <c r="F498" s="195"/>
      <c r="G498" s="195"/>
      <c r="H498" s="195"/>
    </row>
    <row r="500" spans="4:8" ht="13.5" thickBot="1">
      <c r="D500" s="198" t="s">
        <v>579</v>
      </c>
      <c r="E500" s="198" t="s">
        <v>580</v>
      </c>
      <c r="F500" s="198" t="s">
        <v>578</v>
      </c>
      <c r="G500" s="199" t="s">
        <v>451</v>
      </c>
      <c r="H500" s="200"/>
    </row>
    <row r="501" spans="1:8" ht="13.5">
      <c r="A501" s="191" t="s">
        <v>255</v>
      </c>
      <c r="D501" s="201" t="s">
        <v>514</v>
      </c>
      <c r="E501" s="201" t="s">
        <v>514</v>
      </c>
      <c r="F501" s="201">
        <v>2018</v>
      </c>
      <c r="G501" s="202" t="s">
        <v>519</v>
      </c>
      <c r="H501" s="203" t="s">
        <v>478</v>
      </c>
    </row>
    <row r="502" spans="4:6" ht="12">
      <c r="D502" s="245"/>
      <c r="E502" s="245"/>
      <c r="F502" s="245"/>
    </row>
    <row r="503" spans="1:8" ht="12">
      <c r="A503" s="191" t="s">
        <v>19</v>
      </c>
      <c r="B503" s="191" t="s">
        <v>20</v>
      </c>
      <c r="D503" s="208">
        <v>0</v>
      </c>
      <c r="E503" s="208">
        <v>0</v>
      </c>
      <c r="F503" s="208"/>
      <c r="G503" s="207">
        <f>E503-F503</f>
        <v>0</v>
      </c>
      <c r="H503" s="193" t="s">
        <v>407</v>
      </c>
    </row>
    <row r="504" spans="1:8" ht="13.5">
      <c r="A504" s="191" t="s">
        <v>396</v>
      </c>
      <c r="B504" s="191" t="s">
        <v>264</v>
      </c>
      <c r="D504" s="212">
        <v>1700</v>
      </c>
      <c r="E504" s="212">
        <v>875</v>
      </c>
      <c r="F504" s="212">
        <v>800</v>
      </c>
      <c r="G504" s="239">
        <f>D504-F504</f>
        <v>900</v>
      </c>
      <c r="H504" s="193" t="s">
        <v>407</v>
      </c>
    </row>
    <row r="505" spans="2:8" ht="12">
      <c r="B505" s="213"/>
      <c r="D505" s="208">
        <f>SUM(D503:D504)</f>
        <v>1700</v>
      </c>
      <c r="E505" s="208">
        <f>SUM(E503:E504)</f>
        <v>875</v>
      </c>
      <c r="F505" s="208"/>
      <c r="G505" s="207">
        <f>E505-F505</f>
        <v>875</v>
      </c>
      <c r="H505" s="193" t="s">
        <v>407</v>
      </c>
    </row>
    <row r="506" spans="4:7" ht="12">
      <c r="D506" s="214"/>
      <c r="E506" s="214"/>
      <c r="F506" s="214"/>
      <c r="G506" s="261"/>
    </row>
    <row r="507" spans="1:7" ht="12">
      <c r="A507" s="191" t="s">
        <v>256</v>
      </c>
      <c r="D507" s="214"/>
      <c r="E507" s="214"/>
      <c r="F507" s="214"/>
      <c r="G507" s="261"/>
    </row>
    <row r="508" spans="4:7" ht="12">
      <c r="D508" s="214"/>
      <c r="E508" s="214"/>
      <c r="F508" s="214"/>
      <c r="G508" s="261"/>
    </row>
    <row r="509" spans="1:8" ht="12">
      <c r="A509" s="191" t="s">
        <v>265</v>
      </c>
      <c r="B509" s="191" t="s">
        <v>450</v>
      </c>
      <c r="D509" s="208">
        <v>300</v>
      </c>
      <c r="E509" s="208"/>
      <c r="F509" s="208">
        <v>0</v>
      </c>
      <c r="G509" s="207">
        <f>D509-F509</f>
        <v>300</v>
      </c>
      <c r="H509" s="193" t="s">
        <v>407</v>
      </c>
    </row>
    <row r="510" spans="1:8" ht="12">
      <c r="A510" s="191" t="s">
        <v>266</v>
      </c>
      <c r="B510" s="191" t="s">
        <v>49</v>
      </c>
      <c r="D510" s="208">
        <f>ROUND(D509*0.0765,0)</f>
        <v>23</v>
      </c>
      <c r="E510" s="208">
        <f>ROUND(E509*0.0765,0)</f>
        <v>0</v>
      </c>
      <c r="F510" s="208">
        <v>0</v>
      </c>
      <c r="G510" s="207">
        <f aca="true" t="shared" si="8" ref="G510:G517">D510-F510</f>
        <v>23</v>
      </c>
      <c r="H510" s="193" t="s">
        <v>407</v>
      </c>
    </row>
    <row r="511" spans="1:8" ht="12">
      <c r="A511" s="191" t="s">
        <v>267</v>
      </c>
      <c r="B511" s="191" t="s">
        <v>162</v>
      </c>
      <c r="D511" s="208">
        <f>D509*0.0285</f>
        <v>8.55</v>
      </c>
      <c r="E511" s="208">
        <f>E509*0.0285</f>
        <v>0</v>
      </c>
      <c r="F511" s="208">
        <v>0</v>
      </c>
      <c r="G511" s="207">
        <f t="shared" si="8"/>
        <v>8.55</v>
      </c>
      <c r="H511" s="193" t="s">
        <v>407</v>
      </c>
    </row>
    <row r="512" spans="1:8" ht="12">
      <c r="A512" s="191" t="s">
        <v>268</v>
      </c>
      <c r="B512" s="191" t="s">
        <v>101</v>
      </c>
      <c r="D512" s="208">
        <v>200</v>
      </c>
      <c r="E512" s="208"/>
      <c r="F512" s="208"/>
      <c r="G512" s="207">
        <f t="shared" si="8"/>
        <v>200</v>
      </c>
      <c r="H512" s="193" t="s">
        <v>407</v>
      </c>
    </row>
    <row r="513" spans="1:8" ht="12">
      <c r="A513" s="191" t="s">
        <v>269</v>
      </c>
      <c r="B513" s="191" t="s">
        <v>103</v>
      </c>
      <c r="D513" s="208">
        <v>125</v>
      </c>
      <c r="E513" s="208"/>
      <c r="F513" s="208"/>
      <c r="G513" s="207">
        <f t="shared" si="8"/>
        <v>125</v>
      </c>
      <c r="H513" s="193" t="s">
        <v>407</v>
      </c>
    </row>
    <row r="514" spans="1:8" ht="12">
      <c r="A514" s="191" t="s">
        <v>270</v>
      </c>
      <c r="B514" s="191" t="s">
        <v>53</v>
      </c>
      <c r="D514" s="208">
        <f>922-7-23-9+4+6</f>
        <v>893</v>
      </c>
      <c r="E514" s="208"/>
      <c r="F514" s="208"/>
      <c r="G514" s="207">
        <f t="shared" si="8"/>
        <v>893</v>
      </c>
      <c r="H514" s="193" t="s">
        <v>407</v>
      </c>
    </row>
    <row r="515" spans="1:8" ht="12">
      <c r="A515" s="191" t="s">
        <v>300</v>
      </c>
      <c r="B515" s="191" t="s">
        <v>301</v>
      </c>
      <c r="D515" s="208"/>
      <c r="E515" s="208">
        <v>838</v>
      </c>
      <c r="F515" s="208">
        <v>800</v>
      </c>
      <c r="G515" s="207">
        <f t="shared" si="8"/>
        <v>-800</v>
      </c>
      <c r="H515" s="193"/>
    </row>
    <row r="516" spans="1:8" ht="13.5">
      <c r="A516" s="191" t="s">
        <v>271</v>
      </c>
      <c r="B516" s="191" t="s">
        <v>106</v>
      </c>
      <c r="D516" s="212">
        <v>150</v>
      </c>
      <c r="E516" s="212">
        <v>0</v>
      </c>
      <c r="F516" s="212">
        <v>0</v>
      </c>
      <c r="G516" s="239">
        <f t="shared" si="8"/>
        <v>150</v>
      </c>
      <c r="H516" s="193" t="s">
        <v>407</v>
      </c>
    </row>
    <row r="517" spans="4:8" ht="12.75" thickBot="1">
      <c r="D517" s="282">
        <f>SUM(D509:D516)</f>
        <v>1699.55</v>
      </c>
      <c r="E517" s="282">
        <f>SUM(E509:E516)</f>
        <v>838</v>
      </c>
      <c r="F517" s="282">
        <f>SUM(F509:F516)</f>
        <v>800</v>
      </c>
      <c r="G517" s="207">
        <f t="shared" si="8"/>
        <v>899.55</v>
      </c>
      <c r="H517" s="193" t="s">
        <v>407</v>
      </c>
    </row>
    <row r="518" spans="4:8" ht="12">
      <c r="D518" s="283"/>
      <c r="E518" s="283"/>
      <c r="F518" s="283"/>
      <c r="G518" s="207"/>
      <c r="H518" s="193"/>
    </row>
    <row r="519" spans="4:8" ht="12">
      <c r="D519" s="283"/>
      <c r="E519" s="283"/>
      <c r="F519" s="283"/>
      <c r="G519" s="207"/>
      <c r="H519" s="193"/>
    </row>
    <row r="520" spans="4:7" ht="12">
      <c r="D520" s="210"/>
      <c r="E520" s="210"/>
      <c r="F520" s="210"/>
      <c r="G520" s="243"/>
    </row>
    <row r="521" spans="4:7" ht="12">
      <c r="D521" s="210"/>
      <c r="E521" s="210"/>
      <c r="F521" s="210"/>
      <c r="G521" s="243"/>
    </row>
    <row r="522" spans="1:8" ht="12">
      <c r="A522" s="192"/>
      <c r="B522" s="192"/>
      <c r="C522" s="192"/>
      <c r="D522" s="192"/>
      <c r="E522" s="192"/>
      <c r="F522" s="192"/>
      <c r="H522" s="191">
        <v>12</v>
      </c>
    </row>
    <row r="523" spans="2:8" s="265" customFormat="1" ht="18">
      <c r="B523" s="266" t="s">
        <v>298</v>
      </c>
      <c r="C523" s="278"/>
      <c r="D523" s="278"/>
      <c r="E523" s="278"/>
      <c r="F523" s="278"/>
      <c r="G523" s="278"/>
      <c r="H523" s="278"/>
    </row>
    <row r="525" spans="4:8" ht="13.5" thickBot="1">
      <c r="D525" s="198" t="s">
        <v>579</v>
      </c>
      <c r="E525" s="198" t="s">
        <v>580</v>
      </c>
      <c r="F525" s="198" t="s">
        <v>578</v>
      </c>
      <c r="G525" s="199" t="s">
        <v>451</v>
      </c>
      <c r="H525" s="200"/>
    </row>
    <row r="526" spans="1:8" ht="13.5">
      <c r="A526" s="191" t="s">
        <v>255</v>
      </c>
      <c r="D526" s="201" t="s">
        <v>514</v>
      </c>
      <c r="E526" s="201" t="s">
        <v>514</v>
      </c>
      <c r="F526" s="201">
        <v>2018</v>
      </c>
      <c r="G526" s="202" t="s">
        <v>505</v>
      </c>
      <c r="H526" s="203" t="s">
        <v>478</v>
      </c>
    </row>
    <row r="527" spans="4:6" ht="12">
      <c r="D527" s="245"/>
      <c r="E527" s="245"/>
      <c r="F527" s="208"/>
    </row>
    <row r="528" spans="1:8" ht="12">
      <c r="A528" s="191" t="s">
        <v>19</v>
      </c>
      <c r="B528" s="191" t="s">
        <v>20</v>
      </c>
      <c r="D528" s="208">
        <v>0</v>
      </c>
      <c r="E528" s="208">
        <v>0</v>
      </c>
      <c r="F528" s="208"/>
      <c r="G528" s="207" t="e">
        <f>E528-#REF!</f>
        <v>#REF!</v>
      </c>
      <c r="H528" s="193" t="s">
        <v>407</v>
      </c>
    </row>
    <row r="529" spans="1:8" ht="12">
      <c r="A529" s="191" t="s">
        <v>272</v>
      </c>
      <c r="B529" s="191" t="s">
        <v>479</v>
      </c>
      <c r="D529" s="208">
        <v>261238</v>
      </c>
      <c r="E529" s="208">
        <v>281687</v>
      </c>
      <c r="F529" s="208">
        <v>275795</v>
      </c>
      <c r="G529" s="207" t="e">
        <f>E529-#REF!</f>
        <v>#REF!</v>
      </c>
      <c r="H529" s="193" t="s">
        <v>602</v>
      </c>
    </row>
    <row r="530" spans="2:8" ht="12">
      <c r="B530" s="191" t="s">
        <v>601</v>
      </c>
      <c r="D530" s="208">
        <v>200</v>
      </c>
      <c r="E530" s="208"/>
      <c r="F530" s="208"/>
      <c r="G530" s="207"/>
      <c r="H530" s="193"/>
    </row>
    <row r="531" spans="1:8" ht="13.5">
      <c r="A531" s="191" t="s">
        <v>274</v>
      </c>
      <c r="B531" s="191" t="s">
        <v>275</v>
      </c>
      <c r="D531" s="212">
        <v>250</v>
      </c>
      <c r="E531" s="212">
        <v>100</v>
      </c>
      <c r="F531" s="212">
        <v>100</v>
      </c>
      <c r="G531" s="239" t="e">
        <f>E531-#REF!</f>
        <v>#REF!</v>
      </c>
      <c r="H531" s="193" t="s">
        <v>407</v>
      </c>
    </row>
    <row r="532" spans="4:8" ht="12">
      <c r="D532" s="214">
        <f>SUM(D528:D531)</f>
        <v>261688</v>
      </c>
      <c r="E532" s="214">
        <f>SUM(E528:E531)</f>
        <v>281787</v>
      </c>
      <c r="F532" s="208">
        <f>SUM(F529:F531)</f>
        <v>275895</v>
      </c>
      <c r="G532" s="207" t="e">
        <f>E532-#REF!</f>
        <v>#REF!</v>
      </c>
      <c r="H532" s="193" t="s">
        <v>407</v>
      </c>
    </row>
    <row r="533" spans="4:7" ht="12">
      <c r="D533" s="214"/>
      <c r="E533" s="214"/>
      <c r="F533" s="208"/>
      <c r="G533" s="261"/>
    </row>
    <row r="534" spans="1:7" ht="12">
      <c r="A534" s="191" t="s">
        <v>256</v>
      </c>
      <c r="D534" s="284"/>
      <c r="E534" s="284"/>
      <c r="F534" s="208"/>
      <c r="G534" s="261"/>
    </row>
    <row r="535" spans="4:7" ht="12">
      <c r="D535" s="214"/>
      <c r="E535" s="214"/>
      <c r="F535" s="208"/>
      <c r="G535" s="261"/>
    </row>
    <row r="536" spans="1:8" ht="12">
      <c r="A536" s="191" t="s">
        <v>276</v>
      </c>
      <c r="B536" s="191" t="s">
        <v>346</v>
      </c>
      <c r="D536" s="208">
        <v>13397</v>
      </c>
      <c r="E536" s="208">
        <v>13397</v>
      </c>
      <c r="F536" s="208">
        <v>28560</v>
      </c>
      <c r="G536" s="263">
        <f>D536-F536</f>
        <v>-15163</v>
      </c>
      <c r="H536" s="193" t="s">
        <v>407</v>
      </c>
    </row>
    <row r="537" spans="2:8" ht="12">
      <c r="B537" s="4" t="s">
        <v>643</v>
      </c>
      <c r="D537" s="208"/>
      <c r="E537" s="208"/>
      <c r="F537" s="208">
        <v>5000</v>
      </c>
      <c r="G537" s="263"/>
      <c r="H537" s="193"/>
    </row>
    <row r="538" spans="1:8" ht="12">
      <c r="A538" s="191" t="s">
        <v>277</v>
      </c>
      <c r="B538" s="191" t="s">
        <v>187</v>
      </c>
      <c r="D538" s="208">
        <v>27216</v>
      </c>
      <c r="E538" s="208">
        <v>27216</v>
      </c>
      <c r="F538" s="208">
        <v>28857.06</v>
      </c>
      <c r="G538" s="263">
        <f aca="true" t="shared" si="9" ref="G538:G556">D538-F538</f>
        <v>-1641.0600000000013</v>
      </c>
      <c r="H538" s="193" t="s">
        <v>407</v>
      </c>
    </row>
    <row r="539" spans="1:8" ht="12">
      <c r="A539" s="191" t="s">
        <v>279</v>
      </c>
      <c r="B539" s="191" t="s">
        <v>450</v>
      </c>
      <c r="C539" s="256"/>
      <c r="D539" s="208">
        <v>29736</v>
      </c>
      <c r="E539" s="208">
        <v>29736</v>
      </c>
      <c r="F539" s="208">
        <v>36581.48</v>
      </c>
      <c r="G539" s="263">
        <f t="shared" si="9"/>
        <v>-6845.480000000003</v>
      </c>
      <c r="H539" s="193" t="s">
        <v>407</v>
      </c>
    </row>
    <row r="540" spans="1:8" ht="12">
      <c r="A540" s="191" t="s">
        <v>280</v>
      </c>
      <c r="B540" s="191" t="s">
        <v>467</v>
      </c>
      <c r="C540" s="233"/>
      <c r="D540" s="208">
        <v>22091</v>
      </c>
      <c r="E540" s="208">
        <v>22091</v>
      </c>
      <c r="F540" s="208">
        <v>25724.74</v>
      </c>
      <c r="G540" s="263">
        <f t="shared" si="9"/>
        <v>-3633.7400000000016</v>
      </c>
      <c r="H540" s="193" t="s">
        <v>407</v>
      </c>
    </row>
    <row r="541" spans="1:8" ht="12">
      <c r="A541" s="191" t="s">
        <v>281</v>
      </c>
      <c r="B541" s="191" t="s">
        <v>426</v>
      </c>
      <c r="C541" s="256"/>
      <c r="D541" s="208">
        <v>7796</v>
      </c>
      <c r="E541" s="208">
        <v>7796</v>
      </c>
      <c r="F541" s="208">
        <v>8000</v>
      </c>
      <c r="G541" s="263">
        <f t="shared" si="9"/>
        <v>-204</v>
      </c>
      <c r="H541" s="193" t="s">
        <v>407</v>
      </c>
    </row>
    <row r="542" spans="1:8" ht="12">
      <c r="A542" s="191" t="s">
        <v>501</v>
      </c>
      <c r="B542" s="191" t="s">
        <v>499</v>
      </c>
      <c r="C542" s="256"/>
      <c r="D542" s="208">
        <v>1875</v>
      </c>
      <c r="E542" s="208">
        <v>1875</v>
      </c>
      <c r="F542" s="208">
        <v>1000</v>
      </c>
      <c r="G542" s="263">
        <f t="shared" si="9"/>
        <v>875</v>
      </c>
      <c r="H542" s="193" t="s">
        <v>407</v>
      </c>
    </row>
    <row r="543" spans="1:8" ht="12">
      <c r="A543" s="191" t="s">
        <v>282</v>
      </c>
      <c r="B543" s="191" t="s">
        <v>76</v>
      </c>
      <c r="D543" s="208">
        <f>ROUND((D536+D538+D539+D540)*0.0765,0)</f>
        <v>7072</v>
      </c>
      <c r="E543" s="208">
        <f>ROUND((E536+E538+E539+E540)*0.0765,0)</f>
        <v>7072</v>
      </c>
      <c r="F543" s="208">
        <v>9291.37</v>
      </c>
      <c r="G543" s="263">
        <f t="shared" si="9"/>
        <v>-2219.370000000001</v>
      </c>
      <c r="H543" s="193" t="s">
        <v>407</v>
      </c>
    </row>
    <row r="544" spans="1:8" ht="12">
      <c r="A544" s="191" t="s">
        <v>283</v>
      </c>
      <c r="B544" s="191" t="s">
        <v>162</v>
      </c>
      <c r="D544" s="208">
        <f>(9500+9500)*0.0285</f>
        <v>541.5</v>
      </c>
      <c r="E544" s="208">
        <f>(9500+9500)*0.0285</f>
        <v>541.5</v>
      </c>
      <c r="F544" s="208">
        <v>817.25</v>
      </c>
      <c r="G544" s="263">
        <f t="shared" si="9"/>
        <v>-275.75</v>
      </c>
      <c r="H544" s="193" t="s">
        <v>407</v>
      </c>
    </row>
    <row r="545" spans="1:8" ht="12">
      <c r="A545" s="191" t="s">
        <v>285</v>
      </c>
      <c r="B545" s="191" t="s">
        <v>51</v>
      </c>
      <c r="D545" s="208">
        <v>1500</v>
      </c>
      <c r="E545" s="208">
        <v>1500</v>
      </c>
      <c r="F545" s="208">
        <v>2000</v>
      </c>
      <c r="G545" s="263">
        <f t="shared" si="9"/>
        <v>-500</v>
      </c>
      <c r="H545" s="193" t="s">
        <v>407</v>
      </c>
    </row>
    <row r="546" spans="1:8" ht="12">
      <c r="A546" s="191" t="s">
        <v>286</v>
      </c>
      <c r="B546" s="191" t="s">
        <v>166</v>
      </c>
      <c r="D546" s="208">
        <v>11445</v>
      </c>
      <c r="E546" s="208">
        <v>11445</v>
      </c>
      <c r="F546" s="208">
        <v>11445</v>
      </c>
      <c r="G546" s="263">
        <f t="shared" si="9"/>
        <v>0</v>
      </c>
      <c r="H546" s="193" t="s">
        <v>407</v>
      </c>
    </row>
    <row r="547" spans="1:8" ht="12">
      <c r="A547" s="191" t="s">
        <v>287</v>
      </c>
      <c r="B547" s="191" t="s">
        <v>201</v>
      </c>
      <c r="D547" s="208">
        <v>350</v>
      </c>
      <c r="E547" s="208">
        <v>350</v>
      </c>
      <c r="F547" s="208">
        <v>350</v>
      </c>
      <c r="G547" s="263">
        <f t="shared" si="9"/>
        <v>0</v>
      </c>
      <c r="H547" s="193" t="s">
        <v>407</v>
      </c>
    </row>
    <row r="548" spans="1:8" ht="12">
      <c r="A548" s="191" t="s">
        <v>288</v>
      </c>
      <c r="B548" s="191" t="s">
        <v>53</v>
      </c>
      <c r="D548" s="208">
        <v>630</v>
      </c>
      <c r="E548" s="208">
        <v>630</v>
      </c>
      <c r="F548" s="208">
        <v>1000</v>
      </c>
      <c r="G548" s="263">
        <f t="shared" si="9"/>
        <v>-370</v>
      </c>
      <c r="H548" s="193" t="s">
        <v>407</v>
      </c>
    </row>
    <row r="549" spans="1:8" ht="12">
      <c r="A549" s="191" t="s">
        <v>394</v>
      </c>
      <c r="B549" s="191" t="s">
        <v>59</v>
      </c>
      <c r="D549" s="208">
        <v>200</v>
      </c>
      <c r="E549" s="208">
        <v>200</v>
      </c>
      <c r="F549" s="208">
        <v>200</v>
      </c>
      <c r="G549" s="263">
        <f t="shared" si="9"/>
        <v>0</v>
      </c>
      <c r="H549" s="193" t="s">
        <v>407</v>
      </c>
    </row>
    <row r="550" spans="1:8" ht="12">
      <c r="A550" s="191" t="s">
        <v>290</v>
      </c>
      <c r="B550" s="191" t="s">
        <v>61</v>
      </c>
      <c r="D550" s="208">
        <v>1000</v>
      </c>
      <c r="E550" s="208">
        <v>1000</v>
      </c>
      <c r="F550" s="208">
        <v>1000</v>
      </c>
      <c r="G550" s="263">
        <f t="shared" si="9"/>
        <v>0</v>
      </c>
      <c r="H550" s="193" t="s">
        <v>407</v>
      </c>
    </row>
    <row r="551" spans="1:8" ht="12">
      <c r="A551" s="191" t="s">
        <v>291</v>
      </c>
      <c r="B551" s="191" t="s">
        <v>292</v>
      </c>
      <c r="D551" s="208">
        <v>844</v>
      </c>
      <c r="E551" s="208">
        <v>844</v>
      </c>
      <c r="F551" s="208">
        <v>844</v>
      </c>
      <c r="G551" s="263">
        <f t="shared" si="9"/>
        <v>0</v>
      </c>
      <c r="H551" s="193" t="s">
        <v>407</v>
      </c>
    </row>
    <row r="552" spans="1:8" ht="12">
      <c r="A552" s="191" t="s">
        <v>293</v>
      </c>
      <c r="B552" s="191" t="s">
        <v>294</v>
      </c>
      <c r="C552" s="233"/>
      <c r="D552" s="208">
        <v>57800</v>
      </c>
      <c r="E552" s="208">
        <v>57800</v>
      </c>
      <c r="F552" s="208">
        <v>60000</v>
      </c>
      <c r="G552" s="263">
        <f t="shared" si="9"/>
        <v>-2200</v>
      </c>
      <c r="H552" s="193" t="s">
        <v>407</v>
      </c>
    </row>
    <row r="553" spans="1:8" ht="12">
      <c r="A553" s="191" t="s">
        <v>412</v>
      </c>
      <c r="B553" s="191" t="s">
        <v>413</v>
      </c>
      <c r="D553" s="208">
        <v>5500</v>
      </c>
      <c r="E553" s="208">
        <v>5500</v>
      </c>
      <c r="F553" s="208">
        <v>5500</v>
      </c>
      <c r="G553" s="263">
        <f t="shared" si="9"/>
        <v>0</v>
      </c>
      <c r="H553" s="193" t="s">
        <v>407</v>
      </c>
    </row>
    <row r="554" spans="1:8" ht="12">
      <c r="A554" s="191" t="s">
        <v>295</v>
      </c>
      <c r="B554" s="191" t="s">
        <v>151</v>
      </c>
      <c r="D554" s="208">
        <v>12500</v>
      </c>
      <c r="E554" s="208">
        <v>12500</v>
      </c>
      <c r="F554" s="208">
        <v>12500</v>
      </c>
      <c r="G554" s="263">
        <f t="shared" si="9"/>
        <v>0</v>
      </c>
      <c r="H554" s="193" t="s">
        <v>407</v>
      </c>
    </row>
    <row r="555" spans="1:8" ht="13.5">
      <c r="A555" s="191" t="s">
        <v>296</v>
      </c>
      <c r="B555" s="191" t="s">
        <v>427</v>
      </c>
      <c r="D555" s="212">
        <v>37224</v>
      </c>
      <c r="E555" s="212">
        <v>37224</v>
      </c>
      <c r="F555" s="212">
        <v>37224</v>
      </c>
      <c r="G555" s="262">
        <f t="shared" si="9"/>
        <v>0</v>
      </c>
      <c r="H555" s="193" t="s">
        <v>407</v>
      </c>
    </row>
    <row r="556" spans="4:8" ht="12.75" thickBot="1">
      <c r="D556" s="241">
        <f>SUM(D536:D555)</f>
        <v>238717.5</v>
      </c>
      <c r="E556" s="241">
        <f>SUM(E536:E555)</f>
        <v>238717.5</v>
      </c>
      <c r="F556" s="241">
        <f>SUM(F536:F555)</f>
        <v>275894.9</v>
      </c>
      <c r="G556" s="263">
        <f t="shared" si="9"/>
        <v>-37177.40000000002</v>
      </c>
      <c r="H556" s="193" t="s">
        <v>407</v>
      </c>
    </row>
    <row r="557" spans="7:8" ht="12">
      <c r="G557" s="222"/>
      <c r="H557" s="193"/>
    </row>
    <row r="558" ht="12">
      <c r="G558" s="274"/>
    </row>
    <row r="559" ht="12">
      <c r="G559" s="274"/>
    </row>
    <row r="560" ht="12">
      <c r="G560" s="274"/>
    </row>
    <row r="561" spans="4:7" ht="12">
      <c r="D561" s="210"/>
      <c r="E561" s="210"/>
      <c r="F561" s="210"/>
      <c r="G561" s="243"/>
    </row>
    <row r="562" spans="4:7" ht="12">
      <c r="D562" s="210"/>
      <c r="E562" s="210"/>
      <c r="F562" s="210"/>
      <c r="G562" s="243"/>
    </row>
    <row r="563" spans="1:8" ht="12">
      <c r="A563" s="192"/>
      <c r="B563" s="192"/>
      <c r="C563" s="192"/>
      <c r="D563" s="285"/>
      <c r="E563" s="285"/>
      <c r="F563" s="285"/>
      <c r="H563" s="191">
        <v>13</v>
      </c>
    </row>
    <row r="564" spans="2:8" ht="18" hidden="1">
      <c r="B564" s="194" t="s">
        <v>425</v>
      </c>
      <c r="C564" s="195"/>
      <c r="D564" s="195"/>
      <c r="E564" s="195"/>
      <c r="F564" s="195"/>
      <c r="G564" s="195"/>
      <c r="H564" s="195"/>
    </row>
    <row r="565" ht="12" hidden="1"/>
    <row r="566" spans="4:8" ht="13.5" hidden="1" thickBot="1">
      <c r="D566" s="198"/>
      <c r="E566" s="198"/>
      <c r="F566" s="198"/>
      <c r="G566" s="199" t="s">
        <v>451</v>
      </c>
      <c r="H566" s="200"/>
    </row>
    <row r="567" spans="1:8" ht="13.5" hidden="1">
      <c r="A567" s="191" t="s">
        <v>302</v>
      </c>
      <c r="D567" s="201" t="s">
        <v>514</v>
      </c>
      <c r="E567" s="201" t="s">
        <v>514</v>
      </c>
      <c r="F567" s="286"/>
      <c r="G567" s="202" t="s">
        <v>505</v>
      </c>
      <c r="H567" s="203" t="s">
        <v>478</v>
      </c>
    </row>
    <row r="568" spans="4:6" ht="12" hidden="1">
      <c r="D568" s="245"/>
      <c r="E568" s="245"/>
      <c r="F568" s="287"/>
    </row>
    <row r="569" spans="1:8" ht="12" hidden="1">
      <c r="A569" s="250" t="s">
        <v>303</v>
      </c>
      <c r="B569" s="191" t="s">
        <v>304</v>
      </c>
      <c r="D569" s="214">
        <f>D139+D140+D141+D142+D143+D144+D441+D442+D482+D483</f>
        <v>90270.31</v>
      </c>
      <c r="E569" s="214">
        <f>E139+E140+E141+E142+E143+E144+E441+E442+E482+E483</f>
        <v>90170.5</v>
      </c>
      <c r="F569" s="242"/>
      <c r="G569" s="207" t="e">
        <f>E569-#REF!</f>
        <v>#REF!</v>
      </c>
      <c r="H569" s="193" t="s">
        <v>407</v>
      </c>
    </row>
    <row r="570" spans="1:8" ht="12" hidden="1">
      <c r="A570" s="250" t="s">
        <v>305</v>
      </c>
      <c r="B570" s="191" t="s">
        <v>306</v>
      </c>
      <c r="D570" s="214">
        <f>D135+D136</f>
        <v>0</v>
      </c>
      <c r="E570" s="214">
        <f>E135+E136</f>
        <v>0</v>
      </c>
      <c r="F570" s="242"/>
      <c r="G570" s="207" t="e">
        <f>E570-#REF!</f>
        <v>#REF!</v>
      </c>
      <c r="H570" s="193" t="s">
        <v>407</v>
      </c>
    </row>
    <row r="571" spans="1:8" ht="12" hidden="1">
      <c r="A571" s="250" t="s">
        <v>307</v>
      </c>
      <c r="B571" s="191" t="s">
        <v>308</v>
      </c>
      <c r="D571" s="214">
        <f>D137+D103+D104</f>
        <v>0</v>
      </c>
      <c r="E571" s="214">
        <f>E137+E103+E104</f>
        <v>0</v>
      </c>
      <c r="F571" s="242"/>
      <c r="G571" s="207" t="e">
        <f>E571-#REF!</f>
        <v>#REF!</v>
      </c>
      <c r="H571" s="193" t="s">
        <v>407</v>
      </c>
    </row>
    <row r="572" spans="1:8" ht="12" hidden="1">
      <c r="A572" s="250" t="s">
        <v>309</v>
      </c>
      <c r="B572" s="191" t="s">
        <v>310</v>
      </c>
      <c r="D572" s="214">
        <f>D105+D106+D443+D462+D484+D503+D504+D528</f>
        <v>1700.68</v>
      </c>
      <c r="E572" s="214">
        <f>E105+E106+E443+E462+E484+E503+E504+E528</f>
        <v>1021.24</v>
      </c>
      <c r="F572" s="242"/>
      <c r="G572" s="207" t="e">
        <f>E572-#REF!</f>
        <v>#REF!</v>
      </c>
      <c r="H572" s="193" t="s">
        <v>407</v>
      </c>
    </row>
    <row r="573" spans="1:8" ht="12" hidden="1">
      <c r="A573" s="250" t="s">
        <v>311</v>
      </c>
      <c r="B573" s="191" t="s">
        <v>312</v>
      </c>
      <c r="D573" s="214" t="e">
        <f>D93+D94+D96+#REF!+#REF!+D463+D97</f>
        <v>#REF!</v>
      </c>
      <c r="E573" s="214" t="e">
        <f>E93+E94+E96+#REF!+#REF!+E463+E97</f>
        <v>#REF!</v>
      </c>
      <c r="F573" s="242"/>
      <c r="G573" s="207" t="e">
        <f>E573-#REF!</f>
        <v>#REF!</v>
      </c>
      <c r="H573" s="193" t="s">
        <v>407</v>
      </c>
    </row>
    <row r="574" spans="1:8" ht="12" hidden="1">
      <c r="A574" s="250" t="s">
        <v>313</v>
      </c>
      <c r="B574" s="191" t="s">
        <v>314</v>
      </c>
      <c r="D574" s="214" t="e">
        <f>#REF!+#REF!+#REF!+#REF!+#REF!+#REF!+D529+D531</f>
        <v>#REF!</v>
      </c>
      <c r="E574" s="214" t="e">
        <f>#REF!+#REF!+#REF!+#REF!+#REF!+#REF!+E529+E531</f>
        <v>#REF!</v>
      </c>
      <c r="F574" s="242"/>
      <c r="G574" s="207" t="e">
        <f>E574-#REF!</f>
        <v>#REF!</v>
      </c>
      <c r="H574" s="193" t="s">
        <v>407</v>
      </c>
    </row>
    <row r="575" spans="1:8" ht="13.5" hidden="1">
      <c r="A575" s="250" t="s">
        <v>315</v>
      </c>
      <c r="B575" s="191" t="s">
        <v>316</v>
      </c>
      <c r="D575" s="251">
        <v>0</v>
      </c>
      <c r="E575" s="251">
        <v>0</v>
      </c>
      <c r="F575" s="288"/>
      <c r="G575" s="239" t="e">
        <f>E575-#REF!</f>
        <v>#REF!</v>
      </c>
      <c r="H575" s="193" t="s">
        <v>407</v>
      </c>
    </row>
    <row r="576" spans="4:8" ht="12" hidden="1">
      <c r="D576" s="214" t="e">
        <f>SUM(D569:D575)</f>
        <v>#REF!</v>
      </c>
      <c r="E576" s="214" t="e">
        <f>SUM(E569:E575)</f>
        <v>#REF!</v>
      </c>
      <c r="F576" s="242"/>
      <c r="G576" s="207" t="e">
        <f>E576-#REF!</f>
        <v>#REF!</v>
      </c>
      <c r="H576" s="193" t="s">
        <v>407</v>
      </c>
    </row>
    <row r="577" spans="4:7" ht="12" hidden="1">
      <c r="D577" s="214"/>
      <c r="E577" s="214"/>
      <c r="F577" s="242"/>
      <c r="G577" s="261"/>
    </row>
    <row r="578" spans="4:7" ht="12" hidden="1">
      <c r="D578" s="214"/>
      <c r="E578" s="214"/>
      <c r="F578" s="242"/>
      <c r="G578" s="261"/>
    </row>
    <row r="579" spans="1:7" ht="12" hidden="1">
      <c r="A579" s="191" t="s">
        <v>317</v>
      </c>
      <c r="D579" s="214"/>
      <c r="E579" s="214"/>
      <c r="F579" s="242"/>
      <c r="G579" s="261"/>
    </row>
    <row r="580" spans="4:7" ht="12" hidden="1">
      <c r="D580" s="214"/>
      <c r="E580" s="214"/>
      <c r="F580" s="242"/>
      <c r="G580" s="261"/>
    </row>
    <row r="581" spans="1:8" ht="12" hidden="1">
      <c r="A581" s="250" t="s">
        <v>40</v>
      </c>
      <c r="B581" s="191" t="s">
        <v>41</v>
      </c>
      <c r="D581" s="214">
        <f>D201+D226</f>
        <v>177530.175</v>
      </c>
      <c r="E581" s="214">
        <f>E201+E226</f>
        <v>133775</v>
      </c>
      <c r="F581" s="242"/>
      <c r="G581" s="207" t="e">
        <f>E581-#REF!</f>
        <v>#REF!</v>
      </c>
      <c r="H581" s="193" t="s">
        <v>407</v>
      </c>
    </row>
    <row r="582" spans="1:8" ht="12" hidden="1">
      <c r="A582" s="250" t="s">
        <v>119</v>
      </c>
      <c r="B582" s="191" t="s">
        <v>318</v>
      </c>
      <c r="D582" s="279">
        <f>D272+D296+D304+D311+D330</f>
        <v>379425.65</v>
      </c>
      <c r="E582" s="279">
        <f>E272+E296+E304+E311+E330</f>
        <v>253786.34</v>
      </c>
      <c r="F582" s="244"/>
      <c r="G582" s="207" t="e">
        <f>E582-#REF!</f>
        <v>#REF!</v>
      </c>
      <c r="H582" s="193" t="s">
        <v>407</v>
      </c>
    </row>
    <row r="583" spans="1:8" ht="12" hidden="1">
      <c r="A583" s="250" t="s">
        <v>319</v>
      </c>
      <c r="B583" s="191" t="s">
        <v>320</v>
      </c>
      <c r="D583" s="214">
        <f>D556</f>
        <v>238717.5</v>
      </c>
      <c r="E583" s="214">
        <f>E556</f>
        <v>238717.5</v>
      </c>
      <c r="F583" s="242"/>
      <c r="G583" s="207" t="e">
        <f>E583-#REF!</f>
        <v>#REF!</v>
      </c>
      <c r="H583" s="193" t="s">
        <v>407</v>
      </c>
    </row>
    <row r="584" spans="1:8" ht="12" hidden="1">
      <c r="A584" s="250" t="s">
        <v>185</v>
      </c>
      <c r="B584" s="191" t="s">
        <v>321</v>
      </c>
      <c r="D584" s="279">
        <f>D381+D468+D469+D470+D489</f>
        <v>275746.9</v>
      </c>
      <c r="E584" s="279">
        <f>E381+E468+E469+E470+E489</f>
        <v>203417.45</v>
      </c>
      <c r="F584" s="244"/>
      <c r="G584" s="207" t="e">
        <f>E584-#REF!</f>
        <v>#REF!</v>
      </c>
      <c r="H584" s="193" t="s">
        <v>407</v>
      </c>
    </row>
    <row r="585" spans="1:8" ht="12" hidden="1">
      <c r="A585" s="250" t="s">
        <v>322</v>
      </c>
      <c r="B585" s="191" t="s">
        <v>323</v>
      </c>
      <c r="D585" s="214">
        <f>D396+D517</f>
        <v>32288.55</v>
      </c>
      <c r="E585" s="214">
        <f>E396+E517</f>
        <v>26219</v>
      </c>
      <c r="F585" s="242"/>
      <c r="G585" s="207" t="e">
        <f>E585-#REF!</f>
        <v>#REF!</v>
      </c>
      <c r="H585" s="193" t="s">
        <v>407</v>
      </c>
    </row>
    <row r="586" spans="1:8" ht="12" hidden="1">
      <c r="A586" s="250" t="s">
        <v>324</v>
      </c>
      <c r="B586" s="191" t="s">
        <v>325</v>
      </c>
      <c r="D586" s="279">
        <f>D448+D449+D491+D490</f>
        <v>11584</v>
      </c>
      <c r="E586" s="279">
        <f>E448+E449+E491+E490</f>
        <v>11583.100000000002</v>
      </c>
      <c r="F586" s="244"/>
      <c r="G586" s="207" t="e">
        <f>E586-#REF!</f>
        <v>#REF!</v>
      </c>
      <c r="H586" s="193" t="s">
        <v>407</v>
      </c>
    </row>
    <row r="587" spans="1:8" ht="12" hidden="1">
      <c r="A587" s="250" t="s">
        <v>326</v>
      </c>
      <c r="B587" s="191" t="s">
        <v>424</v>
      </c>
      <c r="D587" s="214">
        <f>D417+D421</f>
        <v>61519</v>
      </c>
      <c r="E587" s="214">
        <f>E417+E421</f>
        <v>23830</v>
      </c>
      <c r="F587" s="242"/>
      <c r="G587" s="207" t="e">
        <f>E587-#REF!</f>
        <v>#REF!</v>
      </c>
      <c r="H587" s="193" t="s">
        <v>407</v>
      </c>
    </row>
    <row r="588" spans="2:8" ht="13.5" hidden="1">
      <c r="B588" s="191" t="s">
        <v>327</v>
      </c>
      <c r="D588" s="251">
        <f>D450</f>
        <v>10536.630000000001</v>
      </c>
      <c r="E588" s="251">
        <f>E450</f>
        <v>10756.509999999998</v>
      </c>
      <c r="F588" s="288"/>
      <c r="G588" s="239" t="e">
        <f>E588-#REF!</f>
        <v>#REF!</v>
      </c>
      <c r="H588" s="193" t="s">
        <v>407</v>
      </c>
    </row>
    <row r="589" spans="4:8" ht="12" hidden="1">
      <c r="D589" s="214">
        <f>SUM(D581:D588)+2</f>
        <v>1187350.405</v>
      </c>
      <c r="E589" s="214">
        <f>SUM(E581:E588)+2</f>
        <v>902086.9</v>
      </c>
      <c r="F589" s="242"/>
      <c r="G589" s="207" t="e">
        <f>E589-#REF!</f>
        <v>#REF!</v>
      </c>
      <c r="H589" s="193" t="s">
        <v>407</v>
      </c>
    </row>
    <row r="590" spans="4:6" ht="12" hidden="1">
      <c r="D590" s="215"/>
      <c r="E590" s="215"/>
      <c r="F590" s="289"/>
    </row>
    <row r="591" spans="2:7" ht="12" hidden="1">
      <c r="B591" s="191" t="s">
        <v>414</v>
      </c>
      <c r="D591" s="215"/>
      <c r="E591" s="215"/>
      <c r="F591" s="289"/>
      <c r="G591" s="274" t="e">
        <f>G589/#REF!</f>
        <v>#REF!</v>
      </c>
    </row>
    <row r="592" spans="4:6" ht="12" hidden="1">
      <c r="D592" s="215"/>
      <c r="E592" s="215"/>
      <c r="F592" s="289"/>
    </row>
    <row r="593" spans="2:7" ht="12.75" hidden="1" thickBot="1">
      <c r="B593" s="191" t="s">
        <v>254</v>
      </c>
      <c r="D593" s="241" t="e">
        <f>D576-D589</f>
        <v>#REF!</v>
      </c>
      <c r="E593" s="241" t="e">
        <f>E576-E589</f>
        <v>#REF!</v>
      </c>
      <c r="F593" s="242"/>
      <c r="G593" s="213" t="e">
        <f>G576-G589</f>
        <v>#REF!</v>
      </c>
    </row>
    <row r="594" spans="1:8" ht="12" hidden="1">
      <c r="A594" s="192"/>
      <c r="B594" s="192"/>
      <c r="C594" s="192"/>
      <c r="D594" s="276"/>
      <c r="E594" s="276"/>
      <c r="F594" s="276"/>
      <c r="G594" s="277"/>
      <c r="H594" s="191">
        <v>14</v>
      </c>
    </row>
    <row r="595" spans="2:8" ht="18" hidden="1">
      <c r="B595" s="194" t="s">
        <v>481</v>
      </c>
      <c r="C595" s="195"/>
      <c r="D595" s="253"/>
      <c r="E595" s="253"/>
      <c r="F595" s="253"/>
      <c r="G595" s="195"/>
      <c r="H595" s="195"/>
    </row>
    <row r="596" spans="4:7" ht="12" hidden="1">
      <c r="D596" s="197"/>
      <c r="E596" s="197"/>
      <c r="F596" s="197"/>
      <c r="G596" s="219"/>
    </row>
    <row r="597" spans="4:6" ht="12" hidden="1">
      <c r="D597" s="290"/>
      <c r="E597" s="290"/>
      <c r="F597" s="290"/>
    </row>
    <row r="598" spans="1:2" ht="12" hidden="1">
      <c r="A598" s="191" t="s">
        <v>159</v>
      </c>
      <c r="B598" s="191" t="s">
        <v>160</v>
      </c>
    </row>
    <row r="599" ht="12" hidden="1"/>
    <row r="600" spans="1:2" ht="12" hidden="1">
      <c r="A600" s="191" t="s">
        <v>163</v>
      </c>
      <c r="B600" s="191" t="s">
        <v>101</v>
      </c>
    </row>
    <row r="601" spans="1:2" ht="12" hidden="1">
      <c r="A601" s="191" t="s">
        <v>164</v>
      </c>
      <c r="B601" s="191" t="s">
        <v>139</v>
      </c>
    </row>
    <row r="602" spans="1:2" ht="12" hidden="1">
      <c r="A602" s="191" t="s">
        <v>165</v>
      </c>
      <c r="B602" s="191" t="s">
        <v>166</v>
      </c>
    </row>
    <row r="603" spans="1:2" ht="12" hidden="1">
      <c r="A603" s="191" t="s">
        <v>167</v>
      </c>
      <c r="B603" s="191" t="s">
        <v>143</v>
      </c>
    </row>
    <row r="604" spans="1:2" ht="12" hidden="1">
      <c r="A604" s="191" t="s">
        <v>168</v>
      </c>
      <c r="B604" s="191" t="s">
        <v>59</v>
      </c>
    </row>
    <row r="605" spans="1:2" ht="12" hidden="1">
      <c r="A605" s="191" t="s">
        <v>169</v>
      </c>
      <c r="B605" s="191" t="s">
        <v>149</v>
      </c>
    </row>
    <row r="606" spans="1:2" ht="12" hidden="1">
      <c r="A606" s="191" t="s">
        <v>170</v>
      </c>
      <c r="B606" s="191" t="s">
        <v>171</v>
      </c>
    </row>
    <row r="607" spans="1:2" ht="12" hidden="1">
      <c r="A607" s="191" t="s">
        <v>172</v>
      </c>
      <c r="B607" s="191" t="s">
        <v>67</v>
      </c>
    </row>
    <row r="608" spans="1:2" ht="12" hidden="1">
      <c r="A608" s="191" t="s">
        <v>173</v>
      </c>
      <c r="B608" s="191" t="s">
        <v>151</v>
      </c>
    </row>
    <row r="609" spans="1:2" ht="12" hidden="1">
      <c r="A609" s="191" t="s">
        <v>174</v>
      </c>
      <c r="B609" s="191" t="s">
        <v>449</v>
      </c>
    </row>
    <row r="610" spans="1:2" ht="12" hidden="1">
      <c r="A610" s="191" t="s">
        <v>175</v>
      </c>
      <c r="B610" s="191" t="s">
        <v>176</v>
      </c>
    </row>
    <row r="611" spans="1:2" ht="12" hidden="1">
      <c r="A611" s="191" t="s">
        <v>299</v>
      </c>
      <c r="B611" s="191" t="s">
        <v>448</v>
      </c>
    </row>
    <row r="612" ht="12" hidden="1"/>
    <row r="613" ht="12" hidden="1"/>
    <row r="614" spans="1:2" ht="12" hidden="1">
      <c r="A614" s="191" t="s">
        <v>93</v>
      </c>
      <c r="B614" s="191" t="s">
        <v>480</v>
      </c>
    </row>
    <row r="615" ht="12" hidden="1"/>
    <row r="616" spans="1:2" ht="12" hidden="1">
      <c r="A616" s="191" t="s">
        <v>105</v>
      </c>
      <c r="B616" s="191" t="s">
        <v>106</v>
      </c>
    </row>
    <row r="617" spans="1:2" ht="12" hidden="1">
      <c r="A617" s="191" t="s">
        <v>107</v>
      </c>
      <c r="B617" s="191" t="s">
        <v>108</v>
      </c>
    </row>
    <row r="618" spans="1:2" ht="12" hidden="1">
      <c r="A618" s="191" t="s">
        <v>109</v>
      </c>
      <c r="B618" s="191" t="s">
        <v>110</v>
      </c>
    </row>
    <row r="619" spans="1:2" ht="12" hidden="1">
      <c r="A619" s="191" t="s">
        <v>113</v>
      </c>
      <c r="B619" s="191" t="s">
        <v>114</v>
      </c>
    </row>
    <row r="620" spans="1:2" ht="12" hidden="1">
      <c r="A620" s="191" t="s">
        <v>430</v>
      </c>
      <c r="B620" s="191" t="s">
        <v>431</v>
      </c>
    </row>
    <row r="621" ht="12" hidden="1"/>
    <row r="622" ht="12" hidden="1"/>
    <row r="623" ht="12" hidden="1">
      <c r="B623" s="191" t="s">
        <v>341</v>
      </c>
    </row>
    <row r="624" ht="12" hidden="1"/>
    <row r="625" spans="1:2" ht="12" hidden="1">
      <c r="A625" s="191" t="s">
        <v>258</v>
      </c>
      <c r="B625" s="191" t="s">
        <v>259</v>
      </c>
    </row>
    <row r="626" spans="1:2" ht="12" hidden="1">
      <c r="A626" s="191" t="s">
        <v>260</v>
      </c>
      <c r="B626" s="191" t="s">
        <v>257</v>
      </c>
    </row>
    <row r="627" ht="12" hidden="1">
      <c r="B627" s="191" t="s">
        <v>327</v>
      </c>
    </row>
    <row r="628" ht="12" hidden="1"/>
    <row r="629" ht="12" hidden="1"/>
    <row r="630" ht="12" hidden="1">
      <c r="B630" s="191" t="s">
        <v>481</v>
      </c>
    </row>
    <row r="631" ht="12" hidden="1"/>
    <row r="632" ht="12" hidden="1"/>
    <row r="633" ht="12" hidden="1"/>
    <row r="634" ht="12" hidden="1"/>
    <row r="635" ht="12" hidden="1"/>
    <row r="636" ht="12" hidden="1"/>
  </sheetData>
  <sheetProtection/>
  <mergeCells count="4">
    <mergeCell ref="A19:H19"/>
    <mergeCell ref="A20:H20"/>
    <mergeCell ref="A22:H22"/>
    <mergeCell ref="A160:C160"/>
  </mergeCells>
  <printOptions horizontalCentered="1"/>
  <pageMargins left="0.25" right="0.25" top="0.25" bottom="0.25" header="0.25" footer="0.25"/>
  <pageSetup horizontalDpi="600" verticalDpi="600" orientation="landscape" scale="98" r:id="rId1"/>
  <rowBreaks count="14" manualBreakCount="14">
    <brk id="39" max="255" man="1"/>
    <brk id="157" max="255" man="1"/>
    <brk id="204" max="255" man="1"/>
    <brk id="230" max="255" man="1"/>
    <brk id="276" max="255" man="1"/>
    <brk id="315" max="255" man="1"/>
    <brk id="334" max="255" man="1"/>
    <brk id="381" max="255" man="1"/>
    <brk id="400" max="255" man="1"/>
    <brk id="434" max="255" man="1"/>
    <brk id="475" max="255" man="1"/>
    <brk id="521" max="255" man="1"/>
    <brk id="562" max="255" man="1"/>
    <brk id="5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9:L548"/>
  <sheetViews>
    <sheetView zoomScale="130" zoomScaleNormal="130" zoomScalePageLayoutView="0" workbookViewId="0" topLeftCell="B459">
      <selection activeCell="I80" sqref="I80"/>
    </sheetView>
  </sheetViews>
  <sheetFormatPr defaultColWidth="8.8515625" defaultRowHeight="12.75"/>
  <cols>
    <col min="1" max="1" width="11.7109375" style="0" customWidth="1"/>
    <col min="2" max="2" width="27.7109375" style="0" customWidth="1"/>
    <col min="3" max="3" width="5.00390625" style="10" customWidth="1"/>
    <col min="4" max="8" width="12.7109375" style="1" customWidth="1"/>
    <col min="9" max="9" width="12.7109375" style="19" customWidth="1"/>
    <col min="10" max="10" width="12.7109375" style="0" customWidth="1"/>
    <col min="11" max="11" width="9.28125" style="0" bestFit="1" customWidth="1"/>
    <col min="12" max="12" width="10.28125" style="0" bestFit="1" customWidth="1"/>
  </cols>
  <sheetData>
    <row r="19" spans="1:10" ht="36.75">
      <c r="A19" s="302" t="s">
        <v>510</v>
      </c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54">
      <c r="A20" s="303" t="s">
        <v>511</v>
      </c>
      <c r="B20" s="303"/>
      <c r="C20" s="303"/>
      <c r="D20" s="303"/>
      <c r="E20" s="303"/>
      <c r="F20" s="303"/>
      <c r="G20" s="303"/>
      <c r="H20" s="303"/>
      <c r="I20" s="303"/>
      <c r="J20" s="303"/>
    </row>
    <row r="22" spans="1:10" ht="36.75">
      <c r="A22" s="301">
        <v>42681</v>
      </c>
      <c r="B22" s="301"/>
      <c r="C22" s="301"/>
      <c r="D22" s="301"/>
      <c r="E22" s="301"/>
      <c r="F22" s="301"/>
      <c r="G22" s="301"/>
      <c r="H22" s="301"/>
      <c r="I22" s="301"/>
      <c r="J22" s="301"/>
    </row>
    <row r="40" spans="1:10" ht="12">
      <c r="A40" s="23"/>
      <c r="B40" s="23"/>
      <c r="C40" s="23"/>
      <c r="D40" s="23"/>
      <c r="E40" s="23"/>
      <c r="F40" s="23"/>
      <c r="G40" s="23"/>
      <c r="H40" s="23"/>
      <c r="J40" s="24">
        <v>1</v>
      </c>
    </row>
    <row r="41" spans="2:10" ht="18">
      <c r="B41" s="52" t="s">
        <v>340</v>
      </c>
      <c r="C41" s="49"/>
      <c r="D41" s="49"/>
      <c r="E41" s="49"/>
      <c r="F41" s="49"/>
      <c r="G41" s="49"/>
      <c r="H41" s="49"/>
      <c r="I41" s="49"/>
      <c r="J41" s="49"/>
    </row>
    <row r="42" spans="7:8" ht="12">
      <c r="G42" s="5"/>
      <c r="H42" s="5"/>
    </row>
    <row r="43" spans="3:10" s="4" customFormat="1" ht="13.5" thickBot="1">
      <c r="C43" s="17"/>
      <c r="D43" s="8"/>
      <c r="E43" s="8"/>
      <c r="F43" s="33"/>
      <c r="G43" s="76"/>
      <c r="H43" s="76"/>
      <c r="I43" s="86" t="s">
        <v>451</v>
      </c>
      <c r="J43" s="21"/>
    </row>
    <row r="44" spans="1:10" ht="13.5">
      <c r="A44" t="s">
        <v>255</v>
      </c>
      <c r="D44" s="79" t="s">
        <v>477</v>
      </c>
      <c r="E44" s="79" t="s">
        <v>484</v>
      </c>
      <c r="F44" s="156" t="s">
        <v>489</v>
      </c>
      <c r="G44" s="79" t="s">
        <v>506</v>
      </c>
      <c r="H44" s="56" t="s">
        <v>514</v>
      </c>
      <c r="I44" s="37" t="s">
        <v>515</v>
      </c>
      <c r="J44" s="105" t="s">
        <v>478</v>
      </c>
    </row>
    <row r="45" spans="4:8" ht="12">
      <c r="D45" s="94"/>
      <c r="E45" s="94"/>
      <c r="F45" s="155"/>
      <c r="G45" s="94"/>
      <c r="H45" s="57"/>
    </row>
    <row r="46" spans="1:10" ht="12">
      <c r="A46" t="s">
        <v>0</v>
      </c>
      <c r="B46" t="s">
        <v>512</v>
      </c>
      <c r="D46" s="149">
        <f>332400+21617</f>
        <v>354017</v>
      </c>
      <c r="E46" s="80">
        <f>332400+21617</f>
        <v>354017</v>
      </c>
      <c r="F46" s="106">
        <f>332400+21617</f>
        <v>354017</v>
      </c>
      <c r="G46" s="80">
        <f>332400+21617+8650</f>
        <v>362667</v>
      </c>
      <c r="H46" s="178">
        <f>332400+21617+8650</f>
        <v>362667</v>
      </c>
      <c r="I46" s="39">
        <f aca="true" t="shared" si="0" ref="I46:I68">H46-G46</f>
        <v>0</v>
      </c>
      <c r="J46" s="19" t="s">
        <v>407</v>
      </c>
    </row>
    <row r="47" spans="1:10" ht="12">
      <c r="A47" t="s">
        <v>1</v>
      </c>
      <c r="B47" t="s">
        <v>2</v>
      </c>
      <c r="D47" s="149">
        <f>17456+4078</f>
        <v>21534</v>
      </c>
      <c r="E47" s="80">
        <v>18534</v>
      </c>
      <c r="F47" s="106">
        <v>18534</v>
      </c>
      <c r="G47" s="80">
        <f>18534+609</f>
        <v>19143</v>
      </c>
      <c r="H47" s="178">
        <f>18534+609</f>
        <v>19143</v>
      </c>
      <c r="I47" s="39">
        <f t="shared" si="0"/>
        <v>0</v>
      </c>
      <c r="J47" s="19" t="s">
        <v>407</v>
      </c>
    </row>
    <row r="48" spans="1:10" ht="12">
      <c r="A48" t="s">
        <v>3</v>
      </c>
      <c r="B48" t="s">
        <v>4</v>
      </c>
      <c r="D48" s="149">
        <v>19000</v>
      </c>
      <c r="E48" s="80">
        <v>19000</v>
      </c>
      <c r="F48" s="106">
        <v>19000</v>
      </c>
      <c r="G48" s="80">
        <v>19000</v>
      </c>
      <c r="H48" s="163">
        <v>19000</v>
      </c>
      <c r="I48" s="39">
        <f t="shared" si="0"/>
        <v>0</v>
      </c>
      <c r="J48" s="19" t="s">
        <v>407</v>
      </c>
    </row>
    <row r="49" spans="1:10" ht="12">
      <c r="A49" t="s">
        <v>5</v>
      </c>
      <c r="B49" t="s">
        <v>6</v>
      </c>
      <c r="D49" s="149">
        <v>188000</v>
      </c>
      <c r="E49" s="80">
        <v>191148</v>
      </c>
      <c r="F49" s="106">
        <f>191148+7000</f>
        <v>198148</v>
      </c>
      <c r="G49" s="80">
        <f>191148+7000</f>
        <v>198148</v>
      </c>
      <c r="H49" s="163">
        <f>191148+7000</f>
        <v>198148</v>
      </c>
      <c r="I49" s="39">
        <f t="shared" si="0"/>
        <v>0</v>
      </c>
      <c r="J49" s="19" t="s">
        <v>407</v>
      </c>
    </row>
    <row r="50" spans="1:10" ht="12">
      <c r="A50" t="s">
        <v>7</v>
      </c>
      <c r="B50" t="s">
        <v>447</v>
      </c>
      <c r="D50" s="149">
        <v>43000</v>
      </c>
      <c r="E50" s="80">
        <v>48000</v>
      </c>
      <c r="F50" s="106">
        <v>48000</v>
      </c>
      <c r="G50" s="80">
        <v>50000</v>
      </c>
      <c r="H50" s="178">
        <v>50000</v>
      </c>
      <c r="I50" s="39">
        <f t="shared" si="0"/>
        <v>0</v>
      </c>
      <c r="J50" s="19" t="s">
        <v>407</v>
      </c>
    </row>
    <row r="51" spans="1:10" ht="12">
      <c r="A51" t="s">
        <v>328</v>
      </c>
      <c r="B51" t="s">
        <v>8</v>
      </c>
      <c r="D51" s="149">
        <v>1400</v>
      </c>
      <c r="E51" s="80">
        <v>1400</v>
      </c>
      <c r="F51" s="106">
        <v>1650</v>
      </c>
      <c r="G51" s="80">
        <v>1650</v>
      </c>
      <c r="H51" s="163">
        <v>1650</v>
      </c>
      <c r="I51" s="39">
        <f t="shared" si="0"/>
        <v>0</v>
      </c>
      <c r="J51" s="19" t="s">
        <v>407</v>
      </c>
    </row>
    <row r="52" spans="1:10" ht="12">
      <c r="A52" t="s">
        <v>9</v>
      </c>
      <c r="B52" t="s">
        <v>10</v>
      </c>
      <c r="D52" s="149">
        <v>40000</v>
      </c>
      <c r="E52" s="80">
        <v>40000</v>
      </c>
      <c r="F52" s="106">
        <v>40000</v>
      </c>
      <c r="G52" s="80">
        <v>40000</v>
      </c>
      <c r="H52" s="163">
        <v>40000</v>
      </c>
      <c r="I52" s="39">
        <f t="shared" si="0"/>
        <v>0</v>
      </c>
      <c r="J52" s="19" t="s">
        <v>407</v>
      </c>
    </row>
    <row r="53" spans="1:10" ht="12">
      <c r="A53" t="s">
        <v>11</v>
      </c>
      <c r="B53" t="s">
        <v>12</v>
      </c>
      <c r="D53" s="149">
        <v>2000</v>
      </c>
      <c r="E53" s="80">
        <v>2000</v>
      </c>
      <c r="F53" s="106">
        <v>2000</v>
      </c>
      <c r="G53" s="80">
        <v>2000</v>
      </c>
      <c r="H53" s="163">
        <v>2000</v>
      </c>
      <c r="I53" s="39">
        <f t="shared" si="0"/>
        <v>0</v>
      </c>
      <c r="J53" s="19" t="s">
        <v>407</v>
      </c>
    </row>
    <row r="54" spans="1:10" ht="12">
      <c r="A54" t="s">
        <v>13</v>
      </c>
      <c r="B54" t="s">
        <v>14</v>
      </c>
      <c r="D54" s="149">
        <v>25000</v>
      </c>
      <c r="E54" s="80">
        <v>25000</v>
      </c>
      <c r="F54" s="106">
        <v>25000</v>
      </c>
      <c r="G54" s="80">
        <v>25000</v>
      </c>
      <c r="H54" s="163">
        <v>25000</v>
      </c>
      <c r="I54" s="39">
        <f t="shared" si="0"/>
        <v>0</v>
      </c>
      <c r="J54" s="19" t="s">
        <v>407</v>
      </c>
    </row>
    <row r="55" spans="1:10" ht="12">
      <c r="A55" t="s">
        <v>15</v>
      </c>
      <c r="B55" t="s">
        <v>16</v>
      </c>
      <c r="D55" s="149">
        <v>2000</v>
      </c>
      <c r="E55" s="80">
        <v>2000</v>
      </c>
      <c r="F55" s="106">
        <v>2000</v>
      </c>
      <c r="G55" s="80">
        <v>2000</v>
      </c>
      <c r="H55" s="163">
        <v>2000</v>
      </c>
      <c r="I55" s="39">
        <f t="shared" si="0"/>
        <v>0</v>
      </c>
      <c r="J55" s="19" t="s">
        <v>407</v>
      </c>
    </row>
    <row r="56" spans="1:10" ht="12">
      <c r="A56" t="s">
        <v>17</v>
      </c>
      <c r="B56" t="s">
        <v>18</v>
      </c>
      <c r="D56" s="149">
        <v>750</v>
      </c>
      <c r="E56" s="80">
        <v>750</v>
      </c>
      <c r="F56" s="106">
        <v>750</v>
      </c>
      <c r="G56" s="80">
        <v>750</v>
      </c>
      <c r="H56" s="163">
        <v>750</v>
      </c>
      <c r="I56" s="39">
        <f t="shared" si="0"/>
        <v>0</v>
      </c>
      <c r="J56" s="19" t="s">
        <v>407</v>
      </c>
    </row>
    <row r="57" spans="1:10" ht="12">
      <c r="A57" t="s">
        <v>19</v>
      </c>
      <c r="B57" t="s">
        <v>20</v>
      </c>
      <c r="D57" s="149">
        <v>40</v>
      </c>
      <c r="E57" s="80">
        <v>40</v>
      </c>
      <c r="F57" s="106">
        <v>40</v>
      </c>
      <c r="G57" s="80">
        <v>40</v>
      </c>
      <c r="H57" s="163">
        <v>40</v>
      </c>
      <c r="I57" s="39">
        <f t="shared" si="0"/>
        <v>0</v>
      </c>
      <c r="J57" s="19" t="s">
        <v>407</v>
      </c>
    </row>
    <row r="58" spans="1:10" ht="12">
      <c r="A58" t="s">
        <v>21</v>
      </c>
      <c r="B58" t="s">
        <v>22</v>
      </c>
      <c r="D58" s="149">
        <v>500</v>
      </c>
      <c r="E58" s="80">
        <v>500</v>
      </c>
      <c r="F58" s="106">
        <v>500</v>
      </c>
      <c r="G58" s="80">
        <v>500</v>
      </c>
      <c r="H58" s="163">
        <v>500</v>
      </c>
      <c r="I58" s="39">
        <f t="shared" si="0"/>
        <v>0</v>
      </c>
      <c r="J58" s="19" t="s">
        <v>407</v>
      </c>
    </row>
    <row r="59" spans="1:10" ht="12">
      <c r="A59" t="s">
        <v>23</v>
      </c>
      <c r="B59" t="s">
        <v>24</v>
      </c>
      <c r="D59" s="149">
        <v>950</v>
      </c>
      <c r="E59" s="80">
        <v>950</v>
      </c>
      <c r="F59" s="106">
        <v>950</v>
      </c>
      <c r="G59" s="80">
        <v>950</v>
      </c>
      <c r="H59" s="163">
        <v>950</v>
      </c>
      <c r="I59" s="39">
        <f t="shared" si="0"/>
        <v>0</v>
      </c>
      <c r="J59" s="19" t="s">
        <v>407</v>
      </c>
    </row>
    <row r="60" spans="1:10" ht="12">
      <c r="A60" t="s">
        <v>25</v>
      </c>
      <c r="B60" t="s">
        <v>26</v>
      </c>
      <c r="D60" s="149">
        <v>1150</v>
      </c>
      <c r="E60" s="80">
        <v>1150</v>
      </c>
      <c r="F60" s="106">
        <v>1150</v>
      </c>
      <c r="G60" s="80">
        <v>1150</v>
      </c>
      <c r="H60" s="163">
        <v>1150</v>
      </c>
      <c r="I60" s="39">
        <f t="shared" si="0"/>
        <v>0</v>
      </c>
      <c r="J60" s="19" t="s">
        <v>407</v>
      </c>
    </row>
    <row r="61" spans="1:10" ht="12">
      <c r="A61" t="s">
        <v>27</v>
      </c>
      <c r="B61" t="s">
        <v>28</v>
      </c>
      <c r="C61" s="98"/>
      <c r="D61" s="149">
        <v>12867</v>
      </c>
      <c r="E61" s="80">
        <v>13234</v>
      </c>
      <c r="F61" s="106">
        <v>13462</v>
      </c>
      <c r="G61" s="80">
        <v>13996</v>
      </c>
      <c r="H61" s="178">
        <v>13996</v>
      </c>
      <c r="I61" s="39">
        <f t="shared" si="0"/>
        <v>0</v>
      </c>
      <c r="J61" s="19" t="s">
        <v>407</v>
      </c>
    </row>
    <row r="62" spans="1:10" ht="12">
      <c r="A62" t="s">
        <v>29</v>
      </c>
      <c r="B62" t="s">
        <v>30</v>
      </c>
      <c r="D62" s="149">
        <v>11729</v>
      </c>
      <c r="E62" s="80">
        <v>13206</v>
      </c>
      <c r="F62" s="106">
        <v>12623</v>
      </c>
      <c r="G62" s="80">
        <v>12192</v>
      </c>
      <c r="H62" s="178">
        <v>12192</v>
      </c>
      <c r="I62" s="39">
        <f t="shared" si="0"/>
        <v>0</v>
      </c>
      <c r="J62" s="19" t="s">
        <v>407</v>
      </c>
    </row>
    <row r="63" spans="1:10" ht="12">
      <c r="A63" s="4" t="s">
        <v>503</v>
      </c>
      <c r="B63" s="4" t="s">
        <v>504</v>
      </c>
      <c r="D63" s="149"/>
      <c r="E63" s="80"/>
      <c r="F63" s="106">
        <v>4866</v>
      </c>
      <c r="G63" s="80">
        <v>4866</v>
      </c>
      <c r="H63" s="163">
        <v>4866</v>
      </c>
      <c r="I63" s="39">
        <f t="shared" si="0"/>
        <v>0</v>
      </c>
      <c r="J63" s="19" t="s">
        <v>407</v>
      </c>
    </row>
    <row r="64" spans="1:10" ht="12">
      <c r="A64" t="s">
        <v>31</v>
      </c>
      <c r="B64" t="s">
        <v>32</v>
      </c>
      <c r="D64" s="142">
        <v>2200</v>
      </c>
      <c r="E64" s="81">
        <v>0</v>
      </c>
      <c r="F64" s="107">
        <v>0</v>
      </c>
      <c r="G64" s="81">
        <v>0</v>
      </c>
      <c r="H64" s="58">
        <v>0</v>
      </c>
      <c r="I64" s="39">
        <f t="shared" si="0"/>
        <v>0</v>
      </c>
      <c r="J64" s="19" t="s">
        <v>407</v>
      </c>
    </row>
    <row r="65" spans="1:10" ht="12">
      <c r="A65" t="s">
        <v>33</v>
      </c>
      <c r="B65" t="s">
        <v>34</v>
      </c>
      <c r="D65" s="142">
        <v>2000</v>
      </c>
      <c r="E65" s="81">
        <v>2000</v>
      </c>
      <c r="F65" s="107">
        <v>2300</v>
      </c>
      <c r="G65" s="81">
        <v>2300</v>
      </c>
      <c r="H65" s="58">
        <v>2300</v>
      </c>
      <c r="I65" s="39">
        <f t="shared" si="0"/>
        <v>0</v>
      </c>
      <c r="J65" s="19" t="s">
        <v>407</v>
      </c>
    </row>
    <row r="66" spans="1:10" ht="12">
      <c r="A66" s="4" t="s">
        <v>508</v>
      </c>
      <c r="B66" s="4" t="s">
        <v>509</v>
      </c>
      <c r="D66" s="142"/>
      <c r="E66" s="81"/>
      <c r="F66" s="107"/>
      <c r="G66" s="81">
        <v>300</v>
      </c>
      <c r="H66" s="188">
        <v>300</v>
      </c>
      <c r="I66" s="39">
        <f t="shared" si="0"/>
        <v>0</v>
      </c>
      <c r="J66" s="19"/>
    </row>
    <row r="67" spans="1:10" ht="12">
      <c r="A67" t="s">
        <v>35</v>
      </c>
      <c r="B67" t="s">
        <v>36</v>
      </c>
      <c r="D67" s="142">
        <v>200</v>
      </c>
      <c r="E67" s="81">
        <v>200</v>
      </c>
      <c r="F67" s="107">
        <v>200</v>
      </c>
      <c r="G67" s="81">
        <v>200</v>
      </c>
      <c r="H67" s="58">
        <v>200</v>
      </c>
      <c r="I67" s="39">
        <f t="shared" si="0"/>
        <v>0</v>
      </c>
      <c r="J67" s="19" t="s">
        <v>407</v>
      </c>
    </row>
    <row r="68" spans="1:10" ht="12">
      <c r="A68" t="s">
        <v>37</v>
      </c>
      <c r="B68" t="s">
        <v>38</v>
      </c>
      <c r="D68" s="142">
        <v>750</v>
      </c>
      <c r="E68" s="81">
        <v>750</v>
      </c>
      <c r="F68" s="107">
        <v>750</v>
      </c>
      <c r="G68" s="81">
        <v>750</v>
      </c>
      <c r="H68" s="58">
        <v>750</v>
      </c>
      <c r="I68" s="39">
        <f t="shared" si="0"/>
        <v>0</v>
      </c>
      <c r="J68" s="19" t="s">
        <v>407</v>
      </c>
    </row>
    <row r="69" spans="1:10" ht="12">
      <c r="A69" t="s">
        <v>416</v>
      </c>
      <c r="B69" t="s">
        <v>417</v>
      </c>
      <c r="D69" s="142">
        <v>1000</v>
      </c>
      <c r="E69" s="81">
        <v>1000</v>
      </c>
      <c r="F69" s="107">
        <v>1500</v>
      </c>
      <c r="G69" s="81">
        <v>1500</v>
      </c>
      <c r="H69" s="58">
        <v>1500</v>
      </c>
      <c r="I69" s="39">
        <f>H69-G69</f>
        <v>0</v>
      </c>
      <c r="J69" s="19" t="s">
        <v>407</v>
      </c>
    </row>
    <row r="70" spans="1:10" ht="13.5">
      <c r="A70" s="4" t="s">
        <v>513</v>
      </c>
      <c r="B70" t="s">
        <v>39</v>
      </c>
      <c r="D70" s="82">
        <v>4230</v>
      </c>
      <c r="E70" s="82">
        <v>4347</v>
      </c>
      <c r="F70" s="108">
        <v>4424</v>
      </c>
      <c r="G70" s="82">
        <v>4424</v>
      </c>
      <c r="H70" s="61">
        <v>4424</v>
      </c>
      <c r="I70" s="40">
        <f>H70-G70</f>
        <v>0</v>
      </c>
      <c r="J70" s="19" t="s">
        <v>407</v>
      </c>
    </row>
    <row r="71" spans="4:10" ht="12">
      <c r="D71" s="5">
        <f>SUM(D46:D70)</f>
        <v>734317</v>
      </c>
      <c r="E71" s="5">
        <f>SUM(E46:E70)</f>
        <v>739226</v>
      </c>
      <c r="F71" s="5">
        <f>SUM(F46:F70)</f>
        <v>751864</v>
      </c>
      <c r="G71" s="5">
        <f>SUM(G46:G70)</f>
        <v>763526</v>
      </c>
      <c r="H71" s="180">
        <f>SUM(H46:H70)</f>
        <v>763526</v>
      </c>
      <c r="I71" s="39">
        <f>H71-G71</f>
        <v>0</v>
      </c>
      <c r="J71" s="19" t="s">
        <v>407</v>
      </c>
    </row>
    <row r="72" spans="8:9" ht="12">
      <c r="H72" s="166"/>
      <c r="I72" s="15"/>
    </row>
    <row r="73" spans="8:9" ht="12">
      <c r="H73" s="166"/>
      <c r="I73" s="15"/>
    </row>
    <row r="74" spans="8:9" ht="12">
      <c r="H74" s="166"/>
      <c r="I74" s="15"/>
    </row>
    <row r="75" spans="3:10" ht="12">
      <c r="C75" s="10" t="s">
        <v>350</v>
      </c>
      <c r="D75" s="117">
        <v>21692650</v>
      </c>
      <c r="E75" s="172">
        <v>22214200</v>
      </c>
      <c r="F75" s="167">
        <v>22432880</v>
      </c>
      <c r="G75" s="172">
        <v>22410050</v>
      </c>
      <c r="H75" s="180">
        <v>22603490</v>
      </c>
      <c r="I75" s="39">
        <f>H75-G75</f>
        <v>193440</v>
      </c>
      <c r="J75" s="19" t="s">
        <v>407</v>
      </c>
    </row>
    <row r="76" spans="3:10" ht="12">
      <c r="C76" s="28" t="s">
        <v>408</v>
      </c>
      <c r="D76" s="152">
        <v>21693</v>
      </c>
      <c r="E76" s="173">
        <v>22214</v>
      </c>
      <c r="F76" s="168">
        <v>22433</v>
      </c>
      <c r="G76" s="173">
        <v>22410</v>
      </c>
      <c r="H76" s="190">
        <v>22603</v>
      </c>
      <c r="I76" s="39">
        <f>H76-G76</f>
        <v>193</v>
      </c>
      <c r="J76" s="19" t="s">
        <v>407</v>
      </c>
    </row>
    <row r="77" spans="1:8" ht="12.75" thickBot="1">
      <c r="A77" s="10"/>
      <c r="C77" s="10" t="s">
        <v>452</v>
      </c>
      <c r="D77" s="153">
        <v>20.77</v>
      </c>
      <c r="E77" s="174">
        <v>20.77</v>
      </c>
      <c r="F77" s="169">
        <v>20.77</v>
      </c>
      <c r="G77" s="174">
        <v>20.77</v>
      </c>
      <c r="H77" s="88">
        <v>20.77</v>
      </c>
    </row>
    <row r="78" spans="1:8" ht="12">
      <c r="A78" s="10"/>
      <c r="D78" s="5"/>
      <c r="E78" s="28"/>
      <c r="F78" s="28"/>
      <c r="G78" s="28"/>
      <c r="H78" s="28"/>
    </row>
    <row r="79" spans="1:8" ht="12">
      <c r="A79" s="93"/>
      <c r="C79" s="53"/>
      <c r="D79" s="54"/>
      <c r="E79" s="28"/>
      <c r="F79" s="28"/>
      <c r="G79" s="28"/>
      <c r="H79" s="28"/>
    </row>
    <row r="80" spans="1:9" ht="12">
      <c r="A80" s="10"/>
      <c r="C80" s="53"/>
      <c r="D80" s="5"/>
      <c r="E80" s="29"/>
      <c r="F80" s="29"/>
      <c r="G80" s="29"/>
      <c r="H80" s="91"/>
      <c r="I80" s="5"/>
    </row>
    <row r="81" spans="1:9" ht="12.75">
      <c r="A81" s="93"/>
      <c r="B81" t="s">
        <v>464</v>
      </c>
      <c r="C81" s="53"/>
      <c r="D81" s="5"/>
      <c r="E81"/>
      <c r="F81"/>
      <c r="G81"/>
      <c r="H81" s="53"/>
      <c r="I81" s="5"/>
    </row>
    <row r="82" spans="2:10" s="23" customFormat="1" ht="12.75" customHeight="1">
      <c r="B82" s="87"/>
      <c r="C82" s="49"/>
      <c r="D82" s="49"/>
      <c r="E82" s="49"/>
      <c r="F82" s="49"/>
      <c r="G82" s="49"/>
      <c r="H82" s="49"/>
      <c r="I82" s="49"/>
      <c r="J82" s="90">
        <v>2</v>
      </c>
    </row>
    <row r="83" spans="2:10" ht="18">
      <c r="B83" s="52" t="s">
        <v>340</v>
      </c>
      <c r="C83" s="49"/>
      <c r="D83" s="49"/>
      <c r="E83" s="49"/>
      <c r="F83" s="49"/>
      <c r="G83" s="49"/>
      <c r="H83" s="49"/>
      <c r="I83" s="49"/>
      <c r="J83" s="49"/>
    </row>
    <row r="84" spans="1:9" s="3" customFormat="1" ht="12">
      <c r="A84" s="300"/>
      <c r="B84" s="300"/>
      <c r="C84" s="300"/>
      <c r="D84" s="300"/>
      <c r="E84" s="15"/>
      <c r="F84" s="15"/>
      <c r="G84" s="15"/>
      <c r="H84" s="51"/>
      <c r="I84" s="20"/>
    </row>
    <row r="85" spans="3:10" s="3" customFormat="1" ht="13.5" thickBot="1">
      <c r="C85" s="18"/>
      <c r="D85" s="8"/>
      <c r="E85" s="8"/>
      <c r="F85" s="33"/>
      <c r="G85" s="8"/>
      <c r="H85" s="76"/>
      <c r="I85" s="86" t="s">
        <v>451</v>
      </c>
      <c r="J85" s="21"/>
    </row>
    <row r="86" spans="1:10" ht="13.5">
      <c r="A86" t="s">
        <v>40</v>
      </c>
      <c r="B86" t="s">
        <v>41</v>
      </c>
      <c r="D86" s="79" t="s">
        <v>477</v>
      </c>
      <c r="E86" s="79" t="s">
        <v>484</v>
      </c>
      <c r="F86" s="156" t="s">
        <v>489</v>
      </c>
      <c r="G86" s="79" t="s">
        <v>506</v>
      </c>
      <c r="H86" s="56" t="s">
        <v>514</v>
      </c>
      <c r="I86" s="37" t="s">
        <v>505</v>
      </c>
      <c r="J86" s="105" t="s">
        <v>478</v>
      </c>
    </row>
    <row r="87" spans="3:9" s="3" customFormat="1" ht="9.75">
      <c r="C87" s="18"/>
      <c r="D87" s="95"/>
      <c r="E87" s="95"/>
      <c r="F87" s="157"/>
      <c r="G87" s="95"/>
      <c r="H87" s="60"/>
      <c r="I87" s="20"/>
    </row>
    <row r="88" spans="1:10" ht="12">
      <c r="A88" t="s">
        <v>42</v>
      </c>
      <c r="B88" t="s">
        <v>43</v>
      </c>
      <c r="D88" s="81">
        <v>5400</v>
      </c>
      <c r="E88" s="81">
        <v>5400</v>
      </c>
      <c r="F88" s="107">
        <v>5400</v>
      </c>
      <c r="G88" s="81">
        <v>5400</v>
      </c>
      <c r="H88" s="107">
        <v>5400</v>
      </c>
      <c r="I88" s="39">
        <f aca="true" t="shared" si="1" ref="I88:I111">H88-G88</f>
        <v>0</v>
      </c>
      <c r="J88" s="19" t="s">
        <v>407</v>
      </c>
    </row>
    <row r="89" spans="1:10" ht="12">
      <c r="A89" t="s">
        <v>403</v>
      </c>
      <c r="B89" t="s">
        <v>74</v>
      </c>
      <c r="D89" s="81">
        <v>1020</v>
      </c>
      <c r="E89" s="81">
        <v>1020</v>
      </c>
      <c r="F89" s="107">
        <v>1020</v>
      </c>
      <c r="G89" s="81">
        <v>1020</v>
      </c>
      <c r="H89" s="107">
        <v>1020</v>
      </c>
      <c r="I89" s="39">
        <f t="shared" si="1"/>
        <v>0</v>
      </c>
      <c r="J89" s="19" t="s">
        <v>407</v>
      </c>
    </row>
    <row r="90" spans="1:10" ht="12">
      <c r="A90" t="s">
        <v>44</v>
      </c>
      <c r="B90" t="s">
        <v>45</v>
      </c>
      <c r="D90" s="81">
        <v>1020</v>
      </c>
      <c r="E90" s="81">
        <v>1020</v>
      </c>
      <c r="F90" s="107">
        <v>1020</v>
      </c>
      <c r="G90" s="81">
        <v>1020</v>
      </c>
      <c r="H90" s="107">
        <v>1020</v>
      </c>
      <c r="I90" s="39">
        <f t="shared" si="1"/>
        <v>0</v>
      </c>
      <c r="J90" s="19" t="s">
        <v>407</v>
      </c>
    </row>
    <row r="91" spans="1:10" ht="12">
      <c r="A91" t="s">
        <v>400</v>
      </c>
      <c r="B91" s="4" t="s">
        <v>346</v>
      </c>
      <c r="C91" s="30"/>
      <c r="D91" s="150">
        <f>35691+1125</f>
        <v>36816</v>
      </c>
      <c r="E91" s="84">
        <v>37941</v>
      </c>
      <c r="F91" s="162">
        <f>37941+1125</f>
        <v>39066</v>
      </c>
      <c r="G91" s="84">
        <f>37941+1125+1125</f>
        <v>40191</v>
      </c>
      <c r="H91" s="181">
        <f>37941+1125+1125</f>
        <v>40191</v>
      </c>
      <c r="I91" s="161">
        <f t="shared" si="1"/>
        <v>0</v>
      </c>
      <c r="J91" s="19" t="s">
        <v>407</v>
      </c>
    </row>
    <row r="92" spans="1:10" ht="12">
      <c r="A92" t="s">
        <v>468</v>
      </c>
      <c r="B92" t="s">
        <v>469</v>
      </c>
      <c r="C92" s="30"/>
      <c r="D92" s="150">
        <f>8.91*12</f>
        <v>106.92</v>
      </c>
      <c r="E92" s="84">
        <f>8.91*12</f>
        <v>106.92</v>
      </c>
      <c r="F92" s="162">
        <f>8.91*12</f>
        <v>106.92</v>
      </c>
      <c r="G92" s="84">
        <v>115</v>
      </c>
      <c r="H92" s="181">
        <v>115</v>
      </c>
      <c r="I92" s="161">
        <f t="shared" si="1"/>
        <v>0</v>
      </c>
      <c r="J92" s="19" t="s">
        <v>407</v>
      </c>
    </row>
    <row r="93" spans="1:10" ht="12">
      <c r="A93" t="s">
        <v>47</v>
      </c>
      <c r="B93" t="s">
        <v>75</v>
      </c>
      <c r="C93" s="30"/>
      <c r="D93" s="149">
        <v>1838</v>
      </c>
      <c r="E93" s="80">
        <v>1891</v>
      </c>
      <c r="F93" s="106">
        <v>1923</v>
      </c>
      <c r="G93" s="80">
        <v>1999</v>
      </c>
      <c r="H93" s="179">
        <v>1999</v>
      </c>
      <c r="I93" s="161">
        <f t="shared" si="1"/>
        <v>0</v>
      </c>
      <c r="J93" s="19" t="s">
        <v>407</v>
      </c>
    </row>
    <row r="94" spans="1:10" ht="12">
      <c r="A94" t="s">
        <v>48</v>
      </c>
      <c r="B94" t="s">
        <v>49</v>
      </c>
      <c r="D94" s="150">
        <f>ROUND((D88+D89+D90+D91)*0.0765,0)</f>
        <v>3386</v>
      </c>
      <c r="E94" s="84">
        <f>ROUND((E88+E89+E90+E91)*0.0765,0)</f>
        <v>3472</v>
      </c>
      <c r="F94" s="162">
        <f>ROUND((F88+F89+F90+F91)*0.0765,0)</f>
        <v>3558</v>
      </c>
      <c r="G94" s="84">
        <f>ROUND((G88+G89+G90+G91)*0.0765,0)</f>
        <v>3644</v>
      </c>
      <c r="H94" s="181">
        <f>ROUND((H88+H89+H90+H91)*0.0765,0)</f>
        <v>3644</v>
      </c>
      <c r="I94" s="161">
        <f t="shared" si="1"/>
        <v>0</v>
      </c>
      <c r="J94" s="19" t="s">
        <v>407</v>
      </c>
    </row>
    <row r="95" spans="1:10" ht="12">
      <c r="A95" t="s">
        <v>401</v>
      </c>
      <c r="B95" t="s">
        <v>162</v>
      </c>
      <c r="D95" s="149">
        <f>8500*0.0695</f>
        <v>590.75</v>
      </c>
      <c r="E95" s="80">
        <f>8750*0.049</f>
        <v>428.75</v>
      </c>
      <c r="F95" s="106">
        <f>8750*0.0285</f>
        <v>249.375</v>
      </c>
      <c r="G95" s="80">
        <f>9500*0.0285</f>
        <v>270.75</v>
      </c>
      <c r="H95" s="179">
        <f>9500*0.0285</f>
        <v>270.75</v>
      </c>
      <c r="I95" s="161">
        <f t="shared" si="1"/>
        <v>0</v>
      </c>
      <c r="J95" s="19" t="s">
        <v>407</v>
      </c>
    </row>
    <row r="96" spans="1:10" ht="12">
      <c r="A96" t="s">
        <v>50</v>
      </c>
      <c r="B96" t="s">
        <v>51</v>
      </c>
      <c r="D96" s="149">
        <v>1000</v>
      </c>
      <c r="E96" s="149">
        <v>1000</v>
      </c>
      <c r="F96" s="109">
        <v>1000</v>
      </c>
      <c r="G96" s="149">
        <v>1000</v>
      </c>
      <c r="H96" s="109">
        <v>1000</v>
      </c>
      <c r="I96" s="113">
        <f t="shared" si="1"/>
        <v>0</v>
      </c>
      <c r="J96" s="19" t="s">
        <v>407</v>
      </c>
    </row>
    <row r="97" spans="1:10" ht="12">
      <c r="A97" t="s">
        <v>52</v>
      </c>
      <c r="B97" t="s">
        <v>53</v>
      </c>
      <c r="D97" s="149">
        <v>1000</v>
      </c>
      <c r="E97" s="149">
        <v>1000</v>
      </c>
      <c r="F97" s="109">
        <v>1000</v>
      </c>
      <c r="G97" s="149">
        <v>1000</v>
      </c>
      <c r="H97" s="109">
        <v>1000</v>
      </c>
      <c r="I97" s="113">
        <f t="shared" si="1"/>
        <v>0</v>
      </c>
      <c r="J97" s="19" t="s">
        <v>407</v>
      </c>
    </row>
    <row r="98" spans="1:10" ht="12">
      <c r="A98" t="s">
        <v>54</v>
      </c>
      <c r="B98" t="s">
        <v>55</v>
      </c>
      <c r="D98" s="149">
        <v>6000</v>
      </c>
      <c r="E98" s="149">
        <v>6000</v>
      </c>
      <c r="F98" s="109">
        <v>6000</v>
      </c>
      <c r="G98" s="149">
        <v>6000</v>
      </c>
      <c r="H98" s="109">
        <v>6000</v>
      </c>
      <c r="I98" s="113">
        <f t="shared" si="1"/>
        <v>0</v>
      </c>
      <c r="J98" s="19" t="s">
        <v>407</v>
      </c>
    </row>
    <row r="99" spans="1:10" ht="12">
      <c r="A99" t="s">
        <v>402</v>
      </c>
      <c r="B99" t="s">
        <v>79</v>
      </c>
      <c r="D99" s="149">
        <v>295</v>
      </c>
      <c r="E99" s="149">
        <v>295</v>
      </c>
      <c r="F99" s="109">
        <v>295</v>
      </c>
      <c r="G99" s="149">
        <v>295</v>
      </c>
      <c r="H99" s="109">
        <v>295</v>
      </c>
      <c r="I99" s="113">
        <f t="shared" si="1"/>
        <v>0</v>
      </c>
      <c r="J99" s="19" t="s">
        <v>407</v>
      </c>
    </row>
    <row r="100" spans="1:10" ht="12">
      <c r="A100" t="s">
        <v>56</v>
      </c>
      <c r="B100" t="s">
        <v>57</v>
      </c>
      <c r="D100" s="149">
        <v>2000</v>
      </c>
      <c r="E100" s="149">
        <v>2000</v>
      </c>
      <c r="F100" s="109">
        <v>2000</v>
      </c>
      <c r="G100" s="149">
        <v>2000</v>
      </c>
      <c r="H100" s="109">
        <v>2000</v>
      </c>
      <c r="I100" s="113">
        <f t="shared" si="1"/>
        <v>0</v>
      </c>
      <c r="J100" s="19" t="s">
        <v>407</v>
      </c>
    </row>
    <row r="101" spans="1:10" ht="12">
      <c r="A101" t="s">
        <v>58</v>
      </c>
      <c r="B101" t="s">
        <v>59</v>
      </c>
      <c r="D101" s="149">
        <v>1600</v>
      </c>
      <c r="E101" s="80">
        <v>1100</v>
      </c>
      <c r="F101" s="106">
        <v>1100</v>
      </c>
      <c r="G101" s="80">
        <v>1100</v>
      </c>
      <c r="H101" s="106">
        <v>1100</v>
      </c>
      <c r="I101" s="39">
        <f t="shared" si="1"/>
        <v>0</v>
      </c>
      <c r="J101" s="19" t="s">
        <v>407</v>
      </c>
    </row>
    <row r="102" spans="1:10" ht="12">
      <c r="A102" s="4" t="s">
        <v>485</v>
      </c>
      <c r="B102" s="4" t="s">
        <v>487</v>
      </c>
      <c r="D102" s="149"/>
      <c r="E102" s="80">
        <f>2280-570</f>
        <v>1710</v>
      </c>
      <c r="F102" s="106">
        <f>2280-570</f>
        <v>1710</v>
      </c>
      <c r="G102" s="80">
        <f>2280-570</f>
        <v>1710</v>
      </c>
      <c r="H102" s="106">
        <f>2280-570</f>
        <v>1710</v>
      </c>
      <c r="I102" s="39">
        <f t="shared" si="1"/>
        <v>0</v>
      </c>
      <c r="J102" s="19" t="s">
        <v>407</v>
      </c>
    </row>
    <row r="103" spans="1:10" ht="12">
      <c r="A103" t="s">
        <v>60</v>
      </c>
      <c r="B103" t="s">
        <v>61</v>
      </c>
      <c r="D103" s="149">
        <v>1000</v>
      </c>
      <c r="E103" s="80">
        <v>1000</v>
      </c>
      <c r="F103" s="106">
        <v>1000</v>
      </c>
      <c r="G103" s="80">
        <v>1000</v>
      </c>
      <c r="H103" s="106">
        <v>1000</v>
      </c>
      <c r="I103" s="39">
        <f t="shared" si="1"/>
        <v>0</v>
      </c>
      <c r="J103" s="19" t="s">
        <v>407</v>
      </c>
    </row>
    <row r="104" spans="1:10" ht="12">
      <c r="A104" t="s">
        <v>62</v>
      </c>
      <c r="B104" t="s">
        <v>63</v>
      </c>
      <c r="D104" s="149">
        <v>1443</v>
      </c>
      <c r="E104" s="80">
        <v>1515</v>
      </c>
      <c r="F104" s="106">
        <v>1618</v>
      </c>
      <c r="G104" s="80">
        <v>1700</v>
      </c>
      <c r="H104" s="179">
        <v>1700</v>
      </c>
      <c r="I104" s="161">
        <f t="shared" si="1"/>
        <v>0</v>
      </c>
      <c r="J104" s="19" t="s">
        <v>407</v>
      </c>
    </row>
    <row r="105" spans="1:10" ht="12">
      <c r="A105" t="s">
        <v>64</v>
      </c>
      <c r="B105" t="s">
        <v>65</v>
      </c>
      <c r="D105" s="80">
        <v>3500</v>
      </c>
      <c r="E105" s="80">
        <v>3500</v>
      </c>
      <c r="F105" s="106">
        <v>3500</v>
      </c>
      <c r="G105" s="80">
        <v>3500</v>
      </c>
      <c r="H105" s="106">
        <v>3500</v>
      </c>
      <c r="I105" s="39">
        <f t="shared" si="1"/>
        <v>0</v>
      </c>
      <c r="J105" s="19" t="s">
        <v>407</v>
      </c>
    </row>
    <row r="106" spans="1:10" ht="12">
      <c r="A106" t="s">
        <v>66</v>
      </c>
      <c r="B106" t="s">
        <v>67</v>
      </c>
      <c r="D106" s="80">
        <v>1200</v>
      </c>
      <c r="E106" s="80">
        <v>1200</v>
      </c>
      <c r="F106" s="106">
        <v>1200</v>
      </c>
      <c r="G106" s="80">
        <v>1200</v>
      </c>
      <c r="H106" s="106">
        <v>1200</v>
      </c>
      <c r="I106" s="39">
        <f t="shared" si="1"/>
        <v>0</v>
      </c>
      <c r="J106" s="19" t="s">
        <v>407</v>
      </c>
    </row>
    <row r="107" spans="1:10" ht="12">
      <c r="A107" t="s">
        <v>68</v>
      </c>
      <c r="B107" t="s">
        <v>69</v>
      </c>
      <c r="D107" s="117">
        <v>1600</v>
      </c>
      <c r="E107" s="117">
        <v>1600</v>
      </c>
      <c r="F107" s="112">
        <v>1600</v>
      </c>
      <c r="G107" s="117">
        <v>1600</v>
      </c>
      <c r="H107" s="112">
        <v>1600</v>
      </c>
      <c r="I107" s="113">
        <f t="shared" si="1"/>
        <v>0</v>
      </c>
      <c r="J107" s="19" t="s">
        <v>407</v>
      </c>
    </row>
    <row r="108" spans="1:10" ht="12">
      <c r="A108" t="s">
        <v>70</v>
      </c>
      <c r="B108" t="s">
        <v>71</v>
      </c>
      <c r="D108" s="149">
        <v>500</v>
      </c>
      <c r="E108" s="149">
        <v>500</v>
      </c>
      <c r="F108" s="109">
        <v>500</v>
      </c>
      <c r="G108" s="149">
        <v>500</v>
      </c>
      <c r="H108" s="109">
        <v>500</v>
      </c>
      <c r="I108" s="113">
        <f t="shared" si="1"/>
        <v>0</v>
      </c>
      <c r="J108" s="19" t="s">
        <v>407</v>
      </c>
    </row>
    <row r="109" spans="1:10" ht="12">
      <c r="A109" t="s">
        <v>72</v>
      </c>
      <c r="B109" t="s">
        <v>73</v>
      </c>
      <c r="D109" s="149">
        <v>1000</v>
      </c>
      <c r="E109" s="149">
        <v>1000</v>
      </c>
      <c r="F109" s="109">
        <v>1000</v>
      </c>
      <c r="G109" s="149">
        <v>1000</v>
      </c>
      <c r="H109" s="109">
        <v>1000</v>
      </c>
      <c r="I109" s="113">
        <f t="shared" si="1"/>
        <v>0</v>
      </c>
      <c r="J109" s="19" t="s">
        <v>407</v>
      </c>
    </row>
    <row r="110" spans="1:10" ht="13.5">
      <c r="A110" t="s">
        <v>422</v>
      </c>
      <c r="B110" t="s">
        <v>423</v>
      </c>
      <c r="D110" s="82">
        <v>2160</v>
      </c>
      <c r="E110" s="82">
        <v>2160</v>
      </c>
      <c r="F110" s="108">
        <v>2160</v>
      </c>
      <c r="G110" s="82">
        <v>2160</v>
      </c>
      <c r="H110" s="108">
        <v>2160</v>
      </c>
      <c r="I110" s="40">
        <f t="shared" si="1"/>
        <v>0</v>
      </c>
      <c r="J110" s="19" t="s">
        <v>407</v>
      </c>
    </row>
    <row r="111" spans="4:10" ht="12">
      <c r="D111" s="5">
        <f>SUM(D88:D110)</f>
        <v>74475.67</v>
      </c>
      <c r="E111" s="5">
        <f>SUM(E88:E110)</f>
        <v>76859.67</v>
      </c>
      <c r="F111" s="5">
        <f>SUM(F88:F110)</f>
        <v>78026.295</v>
      </c>
      <c r="G111" s="5">
        <f>SUM(G88:G110)</f>
        <v>79424.75</v>
      </c>
      <c r="H111" s="180">
        <f>SUM(H88:H110)</f>
        <v>79424.75</v>
      </c>
      <c r="I111" s="161">
        <f t="shared" si="1"/>
        <v>0</v>
      </c>
      <c r="J111" s="19" t="s">
        <v>407</v>
      </c>
    </row>
    <row r="112" spans="1:9" ht="12">
      <c r="A112" t="s">
        <v>80</v>
      </c>
      <c r="B112" t="s">
        <v>81</v>
      </c>
      <c r="D112" s="5"/>
      <c r="E112" s="5"/>
      <c r="F112" s="5"/>
      <c r="G112" s="5"/>
      <c r="H112" s="111"/>
      <c r="I112" s="115"/>
    </row>
    <row r="113" spans="3:9" s="3" customFormat="1" ht="9.75">
      <c r="C113" s="18"/>
      <c r="D113" s="43"/>
      <c r="E113" s="43"/>
      <c r="F113" s="43"/>
      <c r="G113" s="43"/>
      <c r="H113" s="77"/>
      <c r="I113" s="44"/>
    </row>
    <row r="114" spans="1:10" ht="12">
      <c r="A114" t="s">
        <v>82</v>
      </c>
      <c r="B114" t="s">
        <v>83</v>
      </c>
      <c r="D114" s="149">
        <v>16132</v>
      </c>
      <c r="E114" s="149">
        <v>16132</v>
      </c>
      <c r="F114" s="109">
        <v>16132</v>
      </c>
      <c r="G114" s="149">
        <v>16132</v>
      </c>
      <c r="H114" s="110">
        <v>16132</v>
      </c>
      <c r="I114" s="113">
        <f>H114-G114</f>
        <v>0</v>
      </c>
      <c r="J114" s="19" t="s">
        <v>407</v>
      </c>
    </row>
    <row r="115" spans="1:10" ht="12">
      <c r="A115" t="s">
        <v>84</v>
      </c>
      <c r="B115" t="s">
        <v>49</v>
      </c>
      <c r="D115" s="149">
        <f>ROUND(D114*0.0765,0)</f>
        <v>1234</v>
      </c>
      <c r="E115" s="149">
        <f>ROUND(E114*0.0765,0)</f>
        <v>1234</v>
      </c>
      <c r="F115" s="109">
        <f>ROUND(F114*0.0765,0)</f>
        <v>1234</v>
      </c>
      <c r="G115" s="149">
        <f>ROUND(G114*0.0765,0)</f>
        <v>1234</v>
      </c>
      <c r="H115" s="110">
        <f>ROUND(H114*0.0765,0)</f>
        <v>1234</v>
      </c>
      <c r="I115" s="113">
        <f>H115-G115</f>
        <v>0</v>
      </c>
      <c r="J115" s="19" t="s">
        <v>407</v>
      </c>
    </row>
    <row r="116" spans="1:10" ht="12">
      <c r="A116" t="s">
        <v>85</v>
      </c>
      <c r="B116" t="s">
        <v>51</v>
      </c>
      <c r="D116" s="149">
        <v>1750</v>
      </c>
      <c r="E116" s="149">
        <v>1750</v>
      </c>
      <c r="F116" s="109">
        <v>1750</v>
      </c>
      <c r="G116" s="149">
        <v>1750</v>
      </c>
      <c r="H116" s="110">
        <v>1750</v>
      </c>
      <c r="I116" s="113">
        <f>H116-G116</f>
        <v>0</v>
      </c>
      <c r="J116" s="19" t="s">
        <v>407</v>
      </c>
    </row>
    <row r="117" spans="1:10" ht="13.5">
      <c r="A117" t="s">
        <v>86</v>
      </c>
      <c r="B117" t="s">
        <v>87</v>
      </c>
      <c r="D117" s="82">
        <v>150</v>
      </c>
      <c r="E117" s="82">
        <v>150</v>
      </c>
      <c r="F117" s="108">
        <v>150</v>
      </c>
      <c r="G117" s="82">
        <v>150</v>
      </c>
      <c r="H117" s="61">
        <v>150</v>
      </c>
      <c r="I117" s="40">
        <f>H117-G117</f>
        <v>0</v>
      </c>
      <c r="J117" s="19" t="s">
        <v>407</v>
      </c>
    </row>
    <row r="118" spans="4:10" ht="12">
      <c r="D118" s="5">
        <f>SUM(D114:D117)</f>
        <v>19266</v>
      </c>
      <c r="E118" s="5">
        <f>SUM(E114:E117)</f>
        <v>19266</v>
      </c>
      <c r="F118" s="62">
        <f>SUM(F114:F117)</f>
        <v>19266</v>
      </c>
      <c r="G118" s="5">
        <f>SUM(G114:G117)</f>
        <v>19266</v>
      </c>
      <c r="H118" s="111">
        <f>SUM(H114:H117)</f>
        <v>19266</v>
      </c>
      <c r="I118" s="113">
        <f>H118-G118</f>
        <v>0</v>
      </c>
      <c r="J118" s="19" t="s">
        <v>407</v>
      </c>
    </row>
    <row r="119" spans="1:9" ht="12">
      <c r="A119" t="s">
        <v>88</v>
      </c>
      <c r="B119" t="s">
        <v>89</v>
      </c>
      <c r="D119" s="5"/>
      <c r="E119" s="5"/>
      <c r="F119" s="5"/>
      <c r="G119" s="5"/>
      <c r="H119" s="111"/>
      <c r="I119" s="115"/>
    </row>
    <row r="120" spans="3:9" s="3" customFormat="1" ht="9.75">
      <c r="C120" s="18"/>
      <c r="D120" s="43"/>
      <c r="E120" s="43"/>
      <c r="F120" s="43"/>
      <c r="G120" s="43"/>
      <c r="H120" s="77"/>
      <c r="I120" s="44"/>
    </row>
    <row r="121" spans="1:10" ht="13.5">
      <c r="A121" t="s">
        <v>90</v>
      </c>
      <c r="B121" t="s">
        <v>91</v>
      </c>
      <c r="D121" s="41">
        <v>12000</v>
      </c>
      <c r="E121" s="41">
        <v>12000</v>
      </c>
      <c r="F121" s="41">
        <v>12000</v>
      </c>
      <c r="G121" s="41">
        <v>12000</v>
      </c>
      <c r="H121" s="61">
        <v>12000</v>
      </c>
      <c r="I121" s="40">
        <f>H121-G121</f>
        <v>0</v>
      </c>
      <c r="J121" s="19" t="s">
        <v>407</v>
      </c>
    </row>
    <row r="122" spans="4:10" ht="12">
      <c r="D122" s="5">
        <f>SUM(D121:D121)</f>
        <v>12000</v>
      </c>
      <c r="E122" s="5">
        <f>SUM(E121:E121)</f>
        <v>12000</v>
      </c>
      <c r="F122" s="5">
        <f>SUM(F121:F121)</f>
        <v>12000</v>
      </c>
      <c r="G122" s="5">
        <f>SUM(G121:G121)</f>
        <v>12000</v>
      </c>
      <c r="H122" s="111">
        <f>SUM(H121:H121)</f>
        <v>12000</v>
      </c>
      <c r="I122" s="113">
        <f>H122-G122</f>
        <v>0</v>
      </c>
      <c r="J122" s="19" t="s">
        <v>407</v>
      </c>
    </row>
    <row r="123" spans="4:9" ht="12">
      <c r="D123" s="5"/>
      <c r="E123" s="5"/>
      <c r="F123" s="5"/>
      <c r="G123" s="5"/>
      <c r="H123" s="111"/>
      <c r="I123" s="115"/>
    </row>
    <row r="124" spans="2:10" ht="12.75" thickBot="1">
      <c r="B124" t="s">
        <v>92</v>
      </c>
      <c r="D124" s="5">
        <f>D111+D118+D122</f>
        <v>105741.67</v>
      </c>
      <c r="E124" s="5">
        <f>E111+E118+E122</f>
        <v>108125.67</v>
      </c>
      <c r="F124" s="5">
        <f>F111+F118+F122</f>
        <v>109292.295</v>
      </c>
      <c r="G124" s="5">
        <f>G111+G118+G122</f>
        <v>110690.75</v>
      </c>
      <c r="H124" s="185">
        <f>H111+H118+H122</f>
        <v>110690.75</v>
      </c>
      <c r="I124" s="161">
        <f>H124-G124</f>
        <v>0</v>
      </c>
      <c r="J124" s="19" t="s">
        <v>407</v>
      </c>
    </row>
    <row r="125" spans="4:10" ht="12">
      <c r="D125" s="5"/>
      <c r="E125" s="5"/>
      <c r="F125" s="5"/>
      <c r="G125" s="5"/>
      <c r="H125" s="83"/>
      <c r="I125" s="39"/>
      <c r="J125" s="19"/>
    </row>
    <row r="126" spans="3:10" ht="12">
      <c r="C126" s="53"/>
      <c r="D126" s="5"/>
      <c r="E126" s="5"/>
      <c r="F126" s="5"/>
      <c r="G126" s="5"/>
      <c r="H126" s="53"/>
      <c r="I126" s="54"/>
      <c r="J126" s="19"/>
    </row>
    <row r="127" spans="3:10" ht="12">
      <c r="C127" s="53"/>
      <c r="D127" s="5"/>
      <c r="E127" s="5"/>
      <c r="F127" s="5"/>
      <c r="G127" s="5"/>
      <c r="H127" s="53"/>
      <c r="I127" s="54"/>
      <c r="J127" s="19"/>
    </row>
    <row r="128" spans="4:10" ht="12">
      <c r="D128" s="5"/>
      <c r="E128" s="5"/>
      <c r="F128" s="5"/>
      <c r="G128" s="5"/>
      <c r="H128" s="62"/>
      <c r="I128" s="39"/>
      <c r="J128" s="10">
        <v>3</v>
      </c>
    </row>
    <row r="129" spans="2:10" ht="18">
      <c r="B129" s="52" t="s">
        <v>340</v>
      </c>
      <c r="C129" s="49"/>
      <c r="D129" s="49"/>
      <c r="E129" s="49"/>
      <c r="F129" s="49"/>
      <c r="G129" s="49"/>
      <c r="H129" s="49"/>
      <c r="I129" s="49"/>
      <c r="J129" s="49"/>
    </row>
    <row r="131" spans="4:10" ht="13.5" thickBot="1">
      <c r="D131" s="8"/>
      <c r="E131" s="8"/>
      <c r="F131" s="33"/>
      <c r="G131" s="8"/>
      <c r="H131" s="76"/>
      <c r="I131" s="86" t="s">
        <v>451</v>
      </c>
      <c r="J131" s="21"/>
    </row>
    <row r="132" spans="1:10" ht="13.5">
      <c r="A132" t="s">
        <v>93</v>
      </c>
      <c r="B132" t="s">
        <v>94</v>
      </c>
      <c r="D132" s="79" t="s">
        <v>477</v>
      </c>
      <c r="E132" s="79" t="s">
        <v>484</v>
      </c>
      <c r="F132" s="156" t="s">
        <v>489</v>
      </c>
      <c r="G132" s="79" t="s">
        <v>506</v>
      </c>
      <c r="H132" s="56" t="s">
        <v>514</v>
      </c>
      <c r="I132" s="37" t="s">
        <v>505</v>
      </c>
      <c r="J132" s="105" t="s">
        <v>478</v>
      </c>
    </row>
    <row r="133" spans="4:8" ht="12">
      <c r="D133" s="94"/>
      <c r="E133" s="94"/>
      <c r="F133" s="155"/>
      <c r="G133" s="94"/>
      <c r="H133" s="57"/>
    </row>
    <row r="134" spans="1:10" ht="12">
      <c r="A134" t="s">
        <v>95</v>
      </c>
      <c r="B134" t="s">
        <v>450</v>
      </c>
      <c r="D134" s="149">
        <v>9800</v>
      </c>
      <c r="E134" s="149">
        <v>9800</v>
      </c>
      <c r="F134" s="109">
        <v>10050</v>
      </c>
      <c r="G134" s="149">
        <v>10050</v>
      </c>
      <c r="H134" s="163">
        <v>10050</v>
      </c>
      <c r="I134" s="39">
        <f aca="true" t="shared" si="2" ref="I134:I149">H134-G134</f>
        <v>0</v>
      </c>
      <c r="J134" s="19" t="s">
        <v>407</v>
      </c>
    </row>
    <row r="135" spans="1:10" ht="12">
      <c r="A135" t="s">
        <v>97</v>
      </c>
      <c r="B135" t="s">
        <v>49</v>
      </c>
      <c r="D135" s="149">
        <f>ROUND(D134*0.0765,0)</f>
        <v>750</v>
      </c>
      <c r="E135" s="149">
        <f>ROUND(E134*0.0765,0)</f>
        <v>750</v>
      </c>
      <c r="F135" s="109">
        <f>ROUND(F134*0.0765,0)</f>
        <v>769</v>
      </c>
      <c r="G135" s="149">
        <f>ROUND(G134*0.0765,0)</f>
        <v>769</v>
      </c>
      <c r="H135" s="163">
        <f>ROUND(H134*0.0765,0)</f>
        <v>769</v>
      </c>
      <c r="I135" s="39">
        <f t="shared" si="2"/>
        <v>0</v>
      </c>
      <c r="J135" s="19" t="s">
        <v>407</v>
      </c>
    </row>
    <row r="136" spans="1:10" ht="12">
      <c r="A136" t="s">
        <v>98</v>
      </c>
      <c r="B136" t="s">
        <v>162</v>
      </c>
      <c r="D136" s="149">
        <f>D134*0.0695</f>
        <v>681.1</v>
      </c>
      <c r="E136" s="80">
        <f>E134*0.049</f>
        <v>480.20000000000005</v>
      </c>
      <c r="F136" s="106">
        <f>F134*0.0285</f>
        <v>286.425</v>
      </c>
      <c r="G136" s="80">
        <f>G134*0.0285</f>
        <v>286.425</v>
      </c>
      <c r="H136" s="163">
        <f>H134*0.0285</f>
        <v>286.425</v>
      </c>
      <c r="I136" s="39">
        <f t="shared" si="2"/>
        <v>0</v>
      </c>
      <c r="J136" s="19" t="s">
        <v>407</v>
      </c>
    </row>
    <row r="137" spans="1:10" ht="12">
      <c r="A137" t="s">
        <v>100</v>
      </c>
      <c r="B137" t="s">
        <v>101</v>
      </c>
      <c r="D137" s="149">
        <v>400</v>
      </c>
      <c r="E137" s="149">
        <v>400</v>
      </c>
      <c r="F137" s="106">
        <v>400</v>
      </c>
      <c r="G137" s="149">
        <v>600</v>
      </c>
      <c r="H137" s="178">
        <v>600</v>
      </c>
      <c r="I137" s="161">
        <f t="shared" si="2"/>
        <v>0</v>
      </c>
      <c r="J137" s="19" t="s">
        <v>407</v>
      </c>
    </row>
    <row r="138" spans="1:10" ht="12">
      <c r="A138" t="s">
        <v>102</v>
      </c>
      <c r="B138" t="s">
        <v>103</v>
      </c>
      <c r="D138" s="149">
        <v>250</v>
      </c>
      <c r="E138" s="149">
        <v>250</v>
      </c>
      <c r="F138" s="106">
        <v>250</v>
      </c>
      <c r="G138" s="149">
        <v>250</v>
      </c>
      <c r="H138" s="163">
        <v>250</v>
      </c>
      <c r="I138" s="113">
        <f t="shared" si="2"/>
        <v>0</v>
      </c>
      <c r="J138" s="19" t="s">
        <v>407</v>
      </c>
    </row>
    <row r="139" spans="1:10" ht="12">
      <c r="A139" t="s">
        <v>398</v>
      </c>
      <c r="B139" t="s">
        <v>139</v>
      </c>
      <c r="D139" s="149">
        <v>1400</v>
      </c>
      <c r="E139" s="149">
        <v>1400</v>
      </c>
      <c r="F139" s="106">
        <v>1400</v>
      </c>
      <c r="G139" s="149">
        <v>1400</v>
      </c>
      <c r="H139" s="163">
        <v>1400</v>
      </c>
      <c r="I139" s="113">
        <f t="shared" si="2"/>
        <v>0</v>
      </c>
      <c r="J139" s="19" t="s">
        <v>407</v>
      </c>
    </row>
    <row r="140" spans="1:10" ht="12">
      <c r="A140" t="s">
        <v>105</v>
      </c>
      <c r="B140" t="s">
        <v>106</v>
      </c>
      <c r="D140" s="149">
        <v>10750</v>
      </c>
      <c r="E140" s="149">
        <v>10750</v>
      </c>
      <c r="F140" s="106">
        <v>10750</v>
      </c>
      <c r="G140" s="149">
        <v>10750</v>
      </c>
      <c r="H140" s="163">
        <v>10750</v>
      </c>
      <c r="I140" s="113">
        <f t="shared" si="2"/>
        <v>0</v>
      </c>
      <c r="J140" s="19" t="s">
        <v>407</v>
      </c>
    </row>
    <row r="141" spans="1:10" ht="12">
      <c r="A141" t="s">
        <v>107</v>
      </c>
      <c r="B141" t="s">
        <v>108</v>
      </c>
      <c r="D141" s="149">
        <v>13950</v>
      </c>
      <c r="E141" s="149">
        <v>13950</v>
      </c>
      <c r="F141" s="106">
        <v>13950</v>
      </c>
      <c r="G141" s="149">
        <v>10950</v>
      </c>
      <c r="H141" s="178">
        <v>10950</v>
      </c>
      <c r="I141" s="161">
        <f t="shared" si="2"/>
        <v>0</v>
      </c>
      <c r="J141" s="19" t="s">
        <v>407</v>
      </c>
    </row>
    <row r="142" spans="1:10" ht="12">
      <c r="A142" t="s">
        <v>109</v>
      </c>
      <c r="B142" t="s">
        <v>110</v>
      </c>
      <c r="D142" s="149">
        <v>1000</v>
      </c>
      <c r="E142" s="149">
        <v>1000</v>
      </c>
      <c r="F142" s="106">
        <v>1000</v>
      </c>
      <c r="G142" s="149">
        <v>1000</v>
      </c>
      <c r="H142" s="163">
        <v>1000</v>
      </c>
      <c r="I142" s="113">
        <f t="shared" si="2"/>
        <v>0</v>
      </c>
      <c r="J142" s="19" t="s">
        <v>407</v>
      </c>
    </row>
    <row r="143" spans="1:10" ht="12">
      <c r="A143" t="s">
        <v>111</v>
      </c>
      <c r="B143" t="s">
        <v>112</v>
      </c>
      <c r="D143" s="149">
        <v>1000</v>
      </c>
      <c r="E143" s="149">
        <v>1000</v>
      </c>
      <c r="F143" s="106">
        <v>1000</v>
      </c>
      <c r="G143" s="149">
        <v>1237</v>
      </c>
      <c r="H143" s="178">
        <v>1237</v>
      </c>
      <c r="I143" s="161">
        <f t="shared" si="2"/>
        <v>0</v>
      </c>
      <c r="J143" s="19" t="s">
        <v>407</v>
      </c>
    </row>
    <row r="144" spans="1:10" ht="12">
      <c r="A144" t="s">
        <v>113</v>
      </c>
      <c r="B144" t="s">
        <v>114</v>
      </c>
      <c r="D144" s="149">
        <v>9000</v>
      </c>
      <c r="E144" s="149">
        <v>9000</v>
      </c>
      <c r="F144" s="106">
        <v>9000</v>
      </c>
      <c r="G144" s="149">
        <v>8487</v>
      </c>
      <c r="H144" s="178">
        <v>8487</v>
      </c>
      <c r="I144" s="161">
        <f t="shared" si="2"/>
        <v>0</v>
      </c>
      <c r="J144" s="19" t="s">
        <v>407</v>
      </c>
    </row>
    <row r="145" spans="1:10" ht="12">
      <c r="A145" t="s">
        <v>463</v>
      </c>
      <c r="B145" t="s">
        <v>410</v>
      </c>
      <c r="D145" s="149">
        <v>1260</v>
      </c>
      <c r="E145" s="149">
        <v>1260</v>
      </c>
      <c r="F145" s="106">
        <v>1260</v>
      </c>
      <c r="G145" s="149">
        <v>1260</v>
      </c>
      <c r="H145" s="163">
        <v>1260</v>
      </c>
      <c r="I145" s="113">
        <f t="shared" si="2"/>
        <v>0</v>
      </c>
      <c r="J145" s="19" t="s">
        <v>407</v>
      </c>
    </row>
    <row r="146" spans="1:10" ht="12">
      <c r="A146" t="s">
        <v>115</v>
      </c>
      <c r="B146" t="s">
        <v>116</v>
      </c>
      <c r="D146" s="149">
        <v>1000</v>
      </c>
      <c r="E146" s="149">
        <v>1000</v>
      </c>
      <c r="F146" s="106">
        <v>1000</v>
      </c>
      <c r="G146" s="149">
        <v>1000</v>
      </c>
      <c r="H146" s="163">
        <v>1000</v>
      </c>
      <c r="I146" s="113">
        <f t="shared" si="2"/>
        <v>0</v>
      </c>
      <c r="J146" s="19" t="s">
        <v>407</v>
      </c>
    </row>
    <row r="147" spans="1:10" ht="12">
      <c r="A147" t="s">
        <v>117</v>
      </c>
      <c r="B147" t="s">
        <v>118</v>
      </c>
      <c r="D147" s="149">
        <v>6000</v>
      </c>
      <c r="E147" s="80">
        <v>11000</v>
      </c>
      <c r="F147" s="106">
        <v>10724</v>
      </c>
      <c r="G147" s="80">
        <v>10800</v>
      </c>
      <c r="H147" s="178">
        <v>10800</v>
      </c>
      <c r="I147" s="161">
        <f t="shared" si="2"/>
        <v>0</v>
      </c>
      <c r="J147" s="19" t="s">
        <v>407</v>
      </c>
    </row>
    <row r="148" spans="1:10" ht="13.5">
      <c r="A148" t="s">
        <v>430</v>
      </c>
      <c r="B148" t="s">
        <v>431</v>
      </c>
      <c r="D148" s="82">
        <v>9000</v>
      </c>
      <c r="E148" s="82">
        <v>9000</v>
      </c>
      <c r="F148" s="108">
        <v>9000</v>
      </c>
      <c r="G148" s="82">
        <v>8000</v>
      </c>
      <c r="H148" s="182">
        <v>8000</v>
      </c>
      <c r="I148" s="183">
        <f t="shared" si="2"/>
        <v>0</v>
      </c>
      <c r="J148" s="19" t="s">
        <v>407</v>
      </c>
    </row>
    <row r="149" spans="2:10" ht="12.75" thickBot="1">
      <c r="B149" t="s">
        <v>329</v>
      </c>
      <c r="D149" s="5">
        <f>SUM(D134:D148)</f>
        <v>66241.1</v>
      </c>
      <c r="E149" s="5">
        <f>SUM(E134:E148)</f>
        <v>71040.2</v>
      </c>
      <c r="F149" s="5">
        <f>SUM(F134:F148)</f>
        <v>70839.425</v>
      </c>
      <c r="G149" s="5">
        <f>SUM(G134:G148)</f>
        <v>66839.425</v>
      </c>
      <c r="H149" s="185">
        <f>SUM(H134:H148)</f>
        <v>66839.425</v>
      </c>
      <c r="I149" s="161">
        <f t="shared" si="2"/>
        <v>0</v>
      </c>
      <c r="J149" s="19" t="s">
        <v>407</v>
      </c>
    </row>
    <row r="150" spans="4:10" ht="12">
      <c r="D150" s="5"/>
      <c r="E150" s="5"/>
      <c r="F150" s="5"/>
      <c r="G150" s="5"/>
      <c r="H150" s="117"/>
      <c r="I150" s="113"/>
      <c r="J150" s="19"/>
    </row>
    <row r="151" spans="4:10" ht="12">
      <c r="D151" s="5"/>
      <c r="E151" s="5"/>
      <c r="F151" s="5"/>
      <c r="G151" s="5"/>
      <c r="H151" s="117"/>
      <c r="I151" s="113"/>
      <c r="J151" s="19"/>
    </row>
    <row r="152" spans="4:10" ht="12">
      <c r="D152" s="5"/>
      <c r="E152" s="5"/>
      <c r="F152" s="5"/>
      <c r="G152" s="5"/>
      <c r="H152" s="118"/>
      <c r="I152" s="119"/>
      <c r="J152" s="19"/>
    </row>
    <row r="153" spans="4:10" ht="12">
      <c r="D153" s="5"/>
      <c r="E153" s="5"/>
      <c r="F153" s="5"/>
      <c r="G153" s="5"/>
      <c r="H153" s="118"/>
      <c r="I153" s="119"/>
      <c r="J153" s="19"/>
    </row>
    <row r="154" spans="1:10" ht="12">
      <c r="A154" s="23"/>
      <c r="B154" s="23"/>
      <c r="C154" s="23"/>
      <c r="D154" s="23"/>
      <c r="E154" s="23"/>
      <c r="F154" s="23"/>
      <c r="G154" s="23"/>
      <c r="H154" s="120"/>
      <c r="I154" s="114"/>
      <c r="J154">
        <v>4</v>
      </c>
    </row>
    <row r="155" spans="2:10" ht="18">
      <c r="B155" s="52" t="s">
        <v>340</v>
      </c>
      <c r="C155" s="49"/>
      <c r="D155" s="49"/>
      <c r="E155" s="49"/>
      <c r="F155" s="49"/>
      <c r="G155" s="49"/>
      <c r="H155" s="121"/>
      <c r="I155" s="121"/>
      <c r="J155" s="49"/>
    </row>
    <row r="156" spans="8:9" ht="12">
      <c r="H156" s="122"/>
      <c r="I156" s="114"/>
    </row>
    <row r="157" spans="4:10" ht="13.5" thickBot="1">
      <c r="D157" s="8"/>
      <c r="E157" s="8"/>
      <c r="F157" s="33"/>
      <c r="G157" s="8"/>
      <c r="H157" s="123"/>
      <c r="I157" s="86" t="s">
        <v>451</v>
      </c>
      <c r="J157" s="21"/>
    </row>
    <row r="158" spans="1:10" ht="13.5">
      <c r="A158" t="s">
        <v>119</v>
      </c>
      <c r="B158" t="s">
        <v>331</v>
      </c>
      <c r="D158" s="79" t="s">
        <v>477</v>
      </c>
      <c r="E158" s="79" t="s">
        <v>484</v>
      </c>
      <c r="F158" s="156" t="s">
        <v>489</v>
      </c>
      <c r="G158" s="79" t="s">
        <v>506</v>
      </c>
      <c r="H158" s="56" t="s">
        <v>514</v>
      </c>
      <c r="I158" s="37" t="s">
        <v>505</v>
      </c>
      <c r="J158" s="105" t="s">
        <v>478</v>
      </c>
    </row>
    <row r="159" spans="4:9" ht="12">
      <c r="D159" s="94"/>
      <c r="E159" s="148"/>
      <c r="F159" s="158"/>
      <c r="G159" s="148"/>
      <c r="H159" s="124"/>
      <c r="I159" s="114"/>
    </row>
    <row r="160" spans="1:12" ht="12">
      <c r="A160" t="s">
        <v>120</v>
      </c>
      <c r="B160" t="s">
        <v>121</v>
      </c>
      <c r="C160" s="30"/>
      <c r="D160" s="149">
        <v>49942</v>
      </c>
      <c r="E160" s="80">
        <v>51442</v>
      </c>
      <c r="F160" s="106">
        <f>51442+1600</f>
        <v>53042</v>
      </c>
      <c r="G160" s="80">
        <v>54542</v>
      </c>
      <c r="H160" s="178">
        <v>54542</v>
      </c>
      <c r="I160" s="161">
        <f aca="true" t="shared" si="3" ref="I160:I195">H160-G160</f>
        <v>0</v>
      </c>
      <c r="J160" s="19" t="s">
        <v>407</v>
      </c>
      <c r="K160" s="9"/>
      <c r="L160" s="9"/>
    </row>
    <row r="161" spans="1:12" ht="12">
      <c r="A161" s="4" t="s">
        <v>122</v>
      </c>
      <c r="B161" t="s">
        <v>345</v>
      </c>
      <c r="C161" s="30"/>
      <c r="D161" s="149">
        <v>46052</v>
      </c>
      <c r="E161" s="80">
        <v>47552</v>
      </c>
      <c r="F161" s="106">
        <f>47552+1600</f>
        <v>49152</v>
      </c>
      <c r="G161" s="80">
        <v>50652</v>
      </c>
      <c r="H161" s="178">
        <v>50652</v>
      </c>
      <c r="I161" s="161">
        <f t="shared" si="3"/>
        <v>0</v>
      </c>
      <c r="J161" s="19" t="s">
        <v>407</v>
      </c>
      <c r="K161" s="9"/>
      <c r="L161" s="9"/>
    </row>
    <row r="162" spans="1:12" ht="12">
      <c r="A162" t="s">
        <v>123</v>
      </c>
      <c r="B162" t="s">
        <v>450</v>
      </c>
      <c r="C162" s="30"/>
      <c r="D162" s="149">
        <f>67538+2510</f>
        <v>70048</v>
      </c>
      <c r="E162" s="80">
        <v>70698</v>
      </c>
      <c r="F162" s="106">
        <v>72430</v>
      </c>
      <c r="G162" s="80">
        <f>77408-2489</f>
        <v>74919</v>
      </c>
      <c r="H162" s="178">
        <f>77408-2489</f>
        <v>74919</v>
      </c>
      <c r="I162" s="161">
        <f t="shared" si="3"/>
        <v>0</v>
      </c>
      <c r="J162" s="19" t="s">
        <v>407</v>
      </c>
      <c r="L162" s="9"/>
    </row>
    <row r="163" spans="1:11" ht="12">
      <c r="A163" t="s">
        <v>124</v>
      </c>
      <c r="B163" t="s">
        <v>426</v>
      </c>
      <c r="C163" s="30"/>
      <c r="D163" s="149">
        <f>(315.46+997.79)*12</f>
        <v>15759</v>
      </c>
      <c r="E163" s="80">
        <v>10976</v>
      </c>
      <c r="F163" s="106">
        <v>12473</v>
      </c>
      <c r="G163" s="80">
        <v>15591</v>
      </c>
      <c r="H163" s="178">
        <v>15591</v>
      </c>
      <c r="I163" s="161">
        <f t="shared" si="3"/>
        <v>0</v>
      </c>
      <c r="J163" s="19" t="s">
        <v>407</v>
      </c>
      <c r="K163" s="9"/>
    </row>
    <row r="164" spans="1:11" ht="12">
      <c r="A164" s="4" t="s">
        <v>498</v>
      </c>
      <c r="B164" s="4" t="s">
        <v>499</v>
      </c>
      <c r="C164" s="30"/>
      <c r="D164" s="149"/>
      <c r="E164" s="80"/>
      <c r="F164" s="106">
        <f>2500+1250</f>
        <v>3750</v>
      </c>
      <c r="G164" s="80">
        <f>2500+1250</f>
        <v>3750</v>
      </c>
      <c r="H164" s="163">
        <f>2500+1250</f>
        <v>3750</v>
      </c>
      <c r="I164" s="39">
        <f t="shared" si="3"/>
        <v>0</v>
      </c>
      <c r="J164" s="19" t="s">
        <v>407</v>
      </c>
      <c r="K164" s="9"/>
    </row>
    <row r="165" spans="1:10" ht="12">
      <c r="A165" t="s">
        <v>125</v>
      </c>
      <c r="B165" t="s">
        <v>75</v>
      </c>
      <c r="C165" s="30"/>
      <c r="D165" s="149">
        <f>3676+3677</f>
        <v>7353</v>
      </c>
      <c r="E165" s="80">
        <v>7562</v>
      </c>
      <c r="F165" s="106">
        <v>7693</v>
      </c>
      <c r="G165" s="80">
        <v>7998</v>
      </c>
      <c r="H165" s="178">
        <v>7998</v>
      </c>
      <c r="I165" s="161">
        <f t="shared" si="3"/>
        <v>0</v>
      </c>
      <c r="J165" s="19" t="s">
        <v>407</v>
      </c>
    </row>
    <row r="166" spans="1:10" ht="12">
      <c r="A166" t="s">
        <v>126</v>
      </c>
      <c r="B166" t="s">
        <v>49</v>
      </c>
      <c r="C166" s="30"/>
      <c r="D166" s="149">
        <f>ROUND((D160+D161+D162+D169+D170+D171+D173+D174+D172)*0.0765,0)</f>
        <v>13925</v>
      </c>
      <c r="E166" s="80">
        <f>ROUND((E160+E161+E162+E169+E170+E171+E173+E174+E172)*0.0765,0)</f>
        <v>14296</v>
      </c>
      <c r="F166" s="106">
        <f>ROUND((F160+F161+F162+F169+F170+F171+F173+F174+F172)*0.0765,0)</f>
        <v>14726</v>
      </c>
      <c r="G166" s="80">
        <f>ROUND((G160+G161+G162+G169+G170+G171+G173+G174+G172)*0.0765,0)</f>
        <v>15200</v>
      </c>
      <c r="H166" s="178">
        <f>ROUND((H160+H161+H162+H169+H170+H171+H173+H174+H172)*0.0765,0)</f>
        <v>15200</v>
      </c>
      <c r="I166" s="161">
        <f t="shared" si="3"/>
        <v>0</v>
      </c>
      <c r="J166" s="19" t="s">
        <v>407</v>
      </c>
    </row>
    <row r="167" spans="1:10" ht="12">
      <c r="A167" t="s">
        <v>127</v>
      </c>
      <c r="B167" t="s">
        <v>162</v>
      </c>
      <c r="D167" s="149">
        <f>(8500+8500+D162+D169+D173+D174)*0.0695</f>
        <v>6552.043000000001</v>
      </c>
      <c r="E167" s="80">
        <v>3938</v>
      </c>
      <c r="F167" s="106">
        <f>(8750+8750+F162+F169+F173+F174)*0.0285</f>
        <v>2777.781</v>
      </c>
      <c r="G167" s="80">
        <f>(9500+9500+G162+G169+G173+G174)*0.0285</f>
        <v>2896.7115</v>
      </c>
      <c r="H167" s="178">
        <f>(9500+9500+H162+H169+H173+H174)*0.0285</f>
        <v>2896.7115</v>
      </c>
      <c r="I167" s="161">
        <f t="shared" si="3"/>
        <v>0</v>
      </c>
      <c r="J167" s="19" t="s">
        <v>407</v>
      </c>
    </row>
    <row r="168" spans="1:10" ht="12">
      <c r="A168" t="s">
        <v>474</v>
      </c>
      <c r="B168" t="s">
        <v>473</v>
      </c>
      <c r="D168" s="149">
        <v>1025</v>
      </c>
      <c r="E168" s="80">
        <v>1025</v>
      </c>
      <c r="F168" s="106">
        <v>1025</v>
      </c>
      <c r="G168" s="80">
        <v>1025</v>
      </c>
      <c r="H168" s="163">
        <v>1025</v>
      </c>
      <c r="I168" s="39">
        <f t="shared" si="3"/>
        <v>0</v>
      </c>
      <c r="J168" s="19" t="s">
        <v>407</v>
      </c>
    </row>
    <row r="169" spans="1:10" ht="12">
      <c r="A169" t="s">
        <v>128</v>
      </c>
      <c r="B169" t="s">
        <v>475</v>
      </c>
      <c r="D169" s="149">
        <f>800+59+1384+16+84</f>
        <v>2343</v>
      </c>
      <c r="E169" s="80">
        <v>2386</v>
      </c>
      <c r="F169" s="106">
        <v>2444</v>
      </c>
      <c r="G169" s="80">
        <v>2444</v>
      </c>
      <c r="H169" s="163">
        <v>2444</v>
      </c>
      <c r="I169" s="39">
        <f t="shared" si="3"/>
        <v>0</v>
      </c>
      <c r="J169" s="19" t="s">
        <v>407</v>
      </c>
    </row>
    <row r="170" spans="1:10" ht="12">
      <c r="A170" t="s">
        <v>405</v>
      </c>
      <c r="B170" t="s">
        <v>404</v>
      </c>
      <c r="D170" s="149">
        <v>3831</v>
      </c>
      <c r="E170" s="80">
        <v>4326</v>
      </c>
      <c r="F170" s="106">
        <v>4837</v>
      </c>
      <c r="G170" s="80">
        <v>5362</v>
      </c>
      <c r="H170" s="178">
        <v>5362</v>
      </c>
      <c r="I170" s="161">
        <f t="shared" si="3"/>
        <v>0</v>
      </c>
      <c r="J170" s="19" t="s">
        <v>407</v>
      </c>
    </row>
    <row r="171" spans="1:10" ht="12">
      <c r="A171" t="s">
        <v>130</v>
      </c>
      <c r="B171" t="s">
        <v>131</v>
      </c>
      <c r="D171" s="149">
        <v>2000</v>
      </c>
      <c r="E171" s="80">
        <v>2568</v>
      </c>
      <c r="F171" s="106">
        <v>2568</v>
      </c>
      <c r="G171" s="80">
        <v>2568</v>
      </c>
      <c r="H171" s="163">
        <v>2568</v>
      </c>
      <c r="I171" s="39">
        <f t="shared" si="3"/>
        <v>0</v>
      </c>
      <c r="J171" s="19" t="s">
        <v>407</v>
      </c>
    </row>
    <row r="172" spans="1:10" ht="12">
      <c r="A172" t="s">
        <v>421</v>
      </c>
      <c r="B172" t="s">
        <v>409</v>
      </c>
      <c r="D172" s="149">
        <f>2596+336</f>
        <v>2932</v>
      </c>
      <c r="E172" s="80">
        <f>2596+336</f>
        <v>2932</v>
      </c>
      <c r="F172" s="106">
        <f>2596+336</f>
        <v>2932</v>
      </c>
      <c r="G172" s="80">
        <f>2596+336</f>
        <v>2932</v>
      </c>
      <c r="H172" s="163">
        <f>2596+336</f>
        <v>2932</v>
      </c>
      <c r="I172" s="39">
        <f t="shared" si="3"/>
        <v>0</v>
      </c>
      <c r="J172" s="19" t="s">
        <v>407</v>
      </c>
    </row>
    <row r="173" spans="1:10" ht="12">
      <c r="A173" t="s">
        <v>132</v>
      </c>
      <c r="B173" t="s">
        <v>133</v>
      </c>
      <c r="C173" s="99"/>
      <c r="D173" s="149">
        <f>3000+81+23+115</f>
        <v>3219</v>
      </c>
      <c r="E173" s="80">
        <v>3281</v>
      </c>
      <c r="F173" s="106">
        <v>3361</v>
      </c>
      <c r="G173" s="80">
        <f>3593-116</f>
        <v>3477</v>
      </c>
      <c r="H173" s="178">
        <f>3593-116</f>
        <v>3477</v>
      </c>
      <c r="I173" s="161">
        <f t="shared" si="3"/>
        <v>0</v>
      </c>
      <c r="J173" s="19" t="s">
        <v>407</v>
      </c>
    </row>
    <row r="174" spans="1:10" ht="12">
      <c r="A174" t="s">
        <v>134</v>
      </c>
      <c r="B174" t="s">
        <v>135</v>
      </c>
      <c r="C174" s="100"/>
      <c r="D174" s="149">
        <f>1550+42+12+60</f>
        <v>1664</v>
      </c>
      <c r="E174" s="80">
        <v>1694</v>
      </c>
      <c r="F174" s="106">
        <v>1731</v>
      </c>
      <c r="G174" s="80">
        <f>1866-67</f>
        <v>1799</v>
      </c>
      <c r="H174" s="178">
        <f>1866-67</f>
        <v>1799</v>
      </c>
      <c r="I174" s="161">
        <f t="shared" si="3"/>
        <v>0</v>
      </c>
      <c r="J174" s="19" t="s">
        <v>407</v>
      </c>
    </row>
    <row r="175" spans="1:10" ht="12">
      <c r="A175" t="s">
        <v>136</v>
      </c>
      <c r="B175" t="s">
        <v>51</v>
      </c>
      <c r="D175" s="149">
        <v>350</v>
      </c>
      <c r="E175" s="80">
        <v>350</v>
      </c>
      <c r="F175" s="106">
        <v>350</v>
      </c>
      <c r="G175" s="80">
        <v>350</v>
      </c>
      <c r="H175" s="163">
        <v>350</v>
      </c>
      <c r="I175" s="113">
        <f t="shared" si="3"/>
        <v>0</v>
      </c>
      <c r="J175" s="19" t="s">
        <v>407</v>
      </c>
    </row>
    <row r="176" spans="1:10" ht="12">
      <c r="A176" t="s">
        <v>137</v>
      </c>
      <c r="B176" t="s">
        <v>101</v>
      </c>
      <c r="C176" s="99"/>
      <c r="D176" s="149">
        <v>800</v>
      </c>
      <c r="E176" s="80">
        <v>800</v>
      </c>
      <c r="F176" s="106">
        <v>800</v>
      </c>
      <c r="G176" s="80">
        <v>800</v>
      </c>
      <c r="H176" s="163">
        <v>800</v>
      </c>
      <c r="I176" s="113">
        <f t="shared" si="3"/>
        <v>0</v>
      </c>
      <c r="J176" s="19" t="s">
        <v>407</v>
      </c>
    </row>
    <row r="177" spans="1:10" ht="12">
      <c r="A177" t="s">
        <v>138</v>
      </c>
      <c r="B177" t="s">
        <v>139</v>
      </c>
      <c r="C177" s="100"/>
      <c r="D177" s="149">
        <v>8500</v>
      </c>
      <c r="E177" s="80">
        <v>8500</v>
      </c>
      <c r="F177" s="106">
        <v>8500</v>
      </c>
      <c r="G177" s="80">
        <v>8500</v>
      </c>
      <c r="H177" s="163">
        <v>8500</v>
      </c>
      <c r="I177" s="113">
        <f t="shared" si="3"/>
        <v>0</v>
      </c>
      <c r="J177" s="19" t="s">
        <v>407</v>
      </c>
    </row>
    <row r="178" spans="1:10" ht="12">
      <c r="A178" t="s">
        <v>140</v>
      </c>
      <c r="B178" t="s">
        <v>141</v>
      </c>
      <c r="D178" s="149">
        <f>2700+200+350</f>
        <v>3250</v>
      </c>
      <c r="E178" s="80">
        <f>2700+200+350</f>
        <v>3250</v>
      </c>
      <c r="F178" s="106">
        <f>2700+200+350</f>
        <v>3250</v>
      </c>
      <c r="G178" s="80">
        <f>2700+200+350</f>
        <v>3250</v>
      </c>
      <c r="H178" s="163">
        <f>2700+200+350</f>
        <v>3250</v>
      </c>
      <c r="I178" s="113">
        <f t="shared" si="3"/>
        <v>0</v>
      </c>
      <c r="J178" s="19" t="s">
        <v>407</v>
      </c>
    </row>
    <row r="179" spans="1:10" ht="12">
      <c r="A179" t="s">
        <v>470</v>
      </c>
      <c r="B179" t="s">
        <v>471</v>
      </c>
      <c r="D179" s="149">
        <v>800</v>
      </c>
      <c r="E179" s="80">
        <v>800</v>
      </c>
      <c r="F179" s="106">
        <v>800</v>
      </c>
      <c r="G179" s="80">
        <v>800</v>
      </c>
      <c r="H179" s="163">
        <v>800</v>
      </c>
      <c r="I179" s="113">
        <f t="shared" si="3"/>
        <v>0</v>
      </c>
      <c r="J179" s="19" t="s">
        <v>407</v>
      </c>
    </row>
    <row r="180" spans="1:10" ht="12">
      <c r="A180" t="s">
        <v>142</v>
      </c>
      <c r="B180" t="s">
        <v>143</v>
      </c>
      <c r="C180" s="100"/>
      <c r="D180" s="149">
        <v>500</v>
      </c>
      <c r="E180" s="80">
        <v>500</v>
      </c>
      <c r="F180" s="106">
        <v>500</v>
      </c>
      <c r="G180" s="80">
        <v>500</v>
      </c>
      <c r="H180" s="163">
        <v>500</v>
      </c>
      <c r="I180" s="113">
        <f t="shared" si="3"/>
        <v>0</v>
      </c>
      <c r="J180" s="19" t="s">
        <v>407</v>
      </c>
    </row>
    <row r="181" spans="1:10" ht="12">
      <c r="A181" t="s">
        <v>144</v>
      </c>
      <c r="B181" t="s">
        <v>53</v>
      </c>
      <c r="C181" s="100"/>
      <c r="D181" s="149">
        <v>400</v>
      </c>
      <c r="E181" s="80">
        <v>400</v>
      </c>
      <c r="F181" s="106">
        <v>400</v>
      </c>
      <c r="G181" s="80">
        <v>400</v>
      </c>
      <c r="H181" s="163">
        <v>400</v>
      </c>
      <c r="I181" s="113">
        <f t="shared" si="3"/>
        <v>0</v>
      </c>
      <c r="J181" s="19" t="s">
        <v>407</v>
      </c>
    </row>
    <row r="182" spans="1:10" ht="12">
      <c r="A182" t="s">
        <v>145</v>
      </c>
      <c r="B182" t="s">
        <v>79</v>
      </c>
      <c r="D182" s="149">
        <v>2000</v>
      </c>
      <c r="E182" s="80">
        <v>2000</v>
      </c>
      <c r="F182" s="106">
        <v>2000</v>
      </c>
      <c r="G182" s="80">
        <v>2000</v>
      </c>
      <c r="H182" s="163">
        <v>2000</v>
      </c>
      <c r="I182" s="113">
        <f t="shared" si="3"/>
        <v>0</v>
      </c>
      <c r="J182" s="19" t="s">
        <v>407</v>
      </c>
    </row>
    <row r="183" spans="1:10" ht="12">
      <c r="A183" t="s">
        <v>146</v>
      </c>
      <c r="B183" t="s">
        <v>59</v>
      </c>
      <c r="D183" s="149">
        <f>3000-150-150</f>
        <v>2700</v>
      </c>
      <c r="E183" s="80">
        <v>2150</v>
      </c>
      <c r="F183" s="106">
        <v>2150</v>
      </c>
      <c r="G183" s="80">
        <v>2150</v>
      </c>
      <c r="H183" s="163">
        <v>2150</v>
      </c>
      <c r="I183" s="39">
        <f t="shared" si="3"/>
        <v>0</v>
      </c>
      <c r="J183" s="19" t="s">
        <v>407</v>
      </c>
    </row>
    <row r="184" spans="1:10" ht="12">
      <c r="A184" s="4" t="s">
        <v>488</v>
      </c>
      <c r="B184" s="4" t="s">
        <v>486</v>
      </c>
      <c r="D184" s="149"/>
      <c r="E184" s="80">
        <v>570</v>
      </c>
      <c r="F184" s="106">
        <v>570</v>
      </c>
      <c r="G184" s="80">
        <v>570</v>
      </c>
      <c r="H184" s="163">
        <v>570</v>
      </c>
      <c r="I184" s="39">
        <f t="shared" si="3"/>
        <v>0</v>
      </c>
      <c r="J184" s="19" t="s">
        <v>407</v>
      </c>
    </row>
    <row r="185" spans="1:10" ht="12">
      <c r="A185" t="s">
        <v>147</v>
      </c>
      <c r="B185" t="s">
        <v>61</v>
      </c>
      <c r="D185" s="149">
        <v>204</v>
      </c>
      <c r="E185" s="80">
        <v>204</v>
      </c>
      <c r="F185" s="106">
        <v>204</v>
      </c>
      <c r="G185" s="80">
        <v>204</v>
      </c>
      <c r="H185" s="163">
        <v>204</v>
      </c>
      <c r="I185" s="39">
        <f t="shared" si="3"/>
        <v>0</v>
      </c>
      <c r="J185" s="19" t="s">
        <v>407</v>
      </c>
    </row>
    <row r="186" spans="1:10" ht="12">
      <c r="A186" t="s">
        <v>148</v>
      </c>
      <c r="B186" t="s">
        <v>149</v>
      </c>
      <c r="D186" s="149">
        <v>800</v>
      </c>
      <c r="E186" s="80">
        <v>800</v>
      </c>
      <c r="F186" s="106">
        <v>800</v>
      </c>
      <c r="G186" s="80">
        <v>800</v>
      </c>
      <c r="H186" s="163">
        <v>800</v>
      </c>
      <c r="I186" s="39">
        <f t="shared" si="3"/>
        <v>0</v>
      </c>
      <c r="J186" s="19" t="s">
        <v>407</v>
      </c>
    </row>
    <row r="187" spans="1:10" ht="12">
      <c r="A187" t="s">
        <v>406</v>
      </c>
      <c r="B187" t="s">
        <v>67</v>
      </c>
      <c r="D187" s="149">
        <f>450+670+140+55</f>
        <v>1315</v>
      </c>
      <c r="E187" s="80">
        <f>450+670+140+55</f>
        <v>1315</v>
      </c>
      <c r="F187" s="106">
        <f>450+670+140+55</f>
        <v>1315</v>
      </c>
      <c r="G187" s="80">
        <v>1900</v>
      </c>
      <c r="H187" s="178">
        <v>1900</v>
      </c>
      <c r="I187" s="161">
        <f t="shared" si="3"/>
        <v>0</v>
      </c>
      <c r="J187" s="19" t="s">
        <v>407</v>
      </c>
    </row>
    <row r="188" spans="1:10" ht="12">
      <c r="A188" t="s">
        <v>150</v>
      </c>
      <c r="B188" t="s">
        <v>151</v>
      </c>
      <c r="D188" s="149">
        <v>5000</v>
      </c>
      <c r="E188" s="80">
        <v>5000</v>
      </c>
      <c r="F188" s="106">
        <v>5000</v>
      </c>
      <c r="G188" s="80">
        <v>5000</v>
      </c>
      <c r="H188" s="163">
        <v>5000</v>
      </c>
      <c r="I188" s="39">
        <f t="shared" si="3"/>
        <v>0</v>
      </c>
      <c r="J188" s="19" t="s">
        <v>407</v>
      </c>
    </row>
    <row r="189" spans="1:10" ht="12">
      <c r="A189" t="s">
        <v>152</v>
      </c>
      <c r="B189" t="s">
        <v>153</v>
      </c>
      <c r="D189" s="149">
        <v>700</v>
      </c>
      <c r="E189" s="80">
        <v>750</v>
      </c>
      <c r="F189" s="106">
        <v>750</v>
      </c>
      <c r="G189" s="80">
        <v>800</v>
      </c>
      <c r="H189" s="178">
        <v>800</v>
      </c>
      <c r="I189" s="161">
        <f t="shared" si="3"/>
        <v>0</v>
      </c>
      <c r="J189" s="19" t="s">
        <v>407</v>
      </c>
    </row>
    <row r="190" spans="1:10" ht="12">
      <c r="A190" t="s">
        <v>154</v>
      </c>
      <c r="B190" t="s">
        <v>155</v>
      </c>
      <c r="D190" s="149">
        <v>1080</v>
      </c>
      <c r="E190" s="80">
        <v>1080</v>
      </c>
      <c r="F190" s="106">
        <v>1080</v>
      </c>
      <c r="G190" s="80">
        <v>1080</v>
      </c>
      <c r="H190" s="163">
        <v>1080</v>
      </c>
      <c r="I190" s="39">
        <f t="shared" si="3"/>
        <v>0</v>
      </c>
      <c r="J190" s="19" t="s">
        <v>407</v>
      </c>
    </row>
    <row r="191" spans="1:10" ht="12">
      <c r="A191" t="s">
        <v>156</v>
      </c>
      <c r="B191" t="s">
        <v>157</v>
      </c>
      <c r="D191" s="149">
        <v>6500</v>
      </c>
      <c r="E191" s="80">
        <v>7000</v>
      </c>
      <c r="F191" s="106">
        <v>7000</v>
      </c>
      <c r="G191" s="80">
        <v>7500</v>
      </c>
      <c r="H191" s="178">
        <v>7500</v>
      </c>
      <c r="I191" s="161">
        <f t="shared" si="3"/>
        <v>0</v>
      </c>
      <c r="J191" s="19" t="s">
        <v>407</v>
      </c>
    </row>
    <row r="192" spans="1:10" ht="12">
      <c r="A192" s="147" t="s">
        <v>482</v>
      </c>
      <c r="B192" s="147" t="s">
        <v>483</v>
      </c>
      <c r="D192" s="149">
        <v>500</v>
      </c>
      <c r="E192" s="149">
        <v>500</v>
      </c>
      <c r="F192" s="109">
        <v>500</v>
      </c>
      <c r="G192" s="149">
        <v>500</v>
      </c>
      <c r="H192" s="110">
        <v>500</v>
      </c>
      <c r="I192" s="39">
        <f t="shared" si="3"/>
        <v>0</v>
      </c>
      <c r="J192" s="19" t="s">
        <v>407</v>
      </c>
    </row>
    <row r="193" spans="1:10" ht="12">
      <c r="A193" t="s">
        <v>158</v>
      </c>
      <c r="B193" t="s">
        <v>395</v>
      </c>
      <c r="D193" s="149">
        <v>0</v>
      </c>
      <c r="E193" s="149">
        <v>0</v>
      </c>
      <c r="F193" s="109">
        <v>0</v>
      </c>
      <c r="G193" s="149">
        <v>0</v>
      </c>
      <c r="H193" s="110">
        <v>0</v>
      </c>
      <c r="I193" s="113">
        <f t="shared" si="3"/>
        <v>0</v>
      </c>
      <c r="J193" s="19" t="s">
        <v>407</v>
      </c>
    </row>
    <row r="194" spans="1:10" ht="13.5">
      <c r="A194" t="s">
        <v>461</v>
      </c>
      <c r="B194" t="s">
        <v>462</v>
      </c>
      <c r="D194" s="82">
        <v>14467</v>
      </c>
      <c r="E194" s="82">
        <v>14467</v>
      </c>
      <c r="F194" s="108">
        <v>14467</v>
      </c>
      <c r="G194" s="82">
        <f>15567-1100</f>
        <v>14467</v>
      </c>
      <c r="H194" s="61">
        <f>15567-1100</f>
        <v>14467</v>
      </c>
      <c r="I194" s="40">
        <f t="shared" si="3"/>
        <v>0</v>
      </c>
      <c r="J194" s="19" t="s">
        <v>407</v>
      </c>
    </row>
    <row r="195" spans="2:10" ht="12.75" thickBot="1">
      <c r="B195" t="s">
        <v>330</v>
      </c>
      <c r="D195" s="5">
        <f>SUM(D160:D194)</f>
        <v>276511.043</v>
      </c>
      <c r="E195" s="5">
        <f>SUM(E160:E194)</f>
        <v>275112</v>
      </c>
      <c r="F195" s="5">
        <f>SUM(F160:F194)</f>
        <v>285377.78099999996</v>
      </c>
      <c r="G195" s="5">
        <f>SUM(G160:G194)</f>
        <v>296726.7115</v>
      </c>
      <c r="H195" s="185">
        <f>SUM(H160:H194)</f>
        <v>296726.7115</v>
      </c>
      <c r="I195" s="161">
        <f t="shared" si="3"/>
        <v>0</v>
      </c>
      <c r="J195" s="19" t="s">
        <v>407</v>
      </c>
    </row>
    <row r="196" spans="4:10" ht="12">
      <c r="D196" s="5"/>
      <c r="E196" s="5"/>
      <c r="F196" s="5"/>
      <c r="G196" s="5"/>
      <c r="H196" s="117"/>
      <c r="I196" s="113"/>
      <c r="J196" s="19"/>
    </row>
    <row r="197" spans="4:10" ht="12">
      <c r="D197" s="5"/>
      <c r="E197" s="5"/>
      <c r="F197" s="5"/>
      <c r="G197" s="5"/>
      <c r="H197" s="117"/>
      <c r="I197" s="113"/>
      <c r="J197" s="19"/>
    </row>
    <row r="198" spans="4:10" ht="12">
      <c r="D198" s="5"/>
      <c r="E198" s="5"/>
      <c r="F198" s="5"/>
      <c r="G198" s="5"/>
      <c r="H198" s="118"/>
      <c r="I198" s="125"/>
      <c r="J198" s="19"/>
    </row>
    <row r="199" spans="8:9" ht="12">
      <c r="H199" s="118"/>
      <c r="I199" s="125"/>
    </row>
    <row r="200" spans="1:10" ht="12">
      <c r="A200" s="23"/>
      <c r="B200" s="23"/>
      <c r="C200" s="23"/>
      <c r="D200" s="23"/>
      <c r="E200" s="23"/>
      <c r="F200" s="23"/>
      <c r="G200" s="23"/>
      <c r="H200" s="120"/>
      <c r="I200" s="114"/>
      <c r="J200">
        <v>5</v>
      </c>
    </row>
    <row r="201" spans="2:10" ht="18">
      <c r="B201" s="52" t="s">
        <v>340</v>
      </c>
      <c r="C201" s="49"/>
      <c r="D201" s="49"/>
      <c r="E201" s="49"/>
      <c r="F201" s="49"/>
      <c r="G201" s="49"/>
      <c r="H201" s="121"/>
      <c r="I201" s="121"/>
      <c r="J201" s="49"/>
    </row>
    <row r="202" spans="8:9" ht="12">
      <c r="H202" s="122"/>
      <c r="I202" s="114"/>
    </row>
    <row r="203" spans="4:10" ht="13.5" thickBot="1">
      <c r="D203" s="8"/>
      <c r="E203" s="8"/>
      <c r="F203" s="33"/>
      <c r="G203" s="8"/>
      <c r="H203" s="123"/>
      <c r="I203" s="86" t="s">
        <v>451</v>
      </c>
      <c r="J203" s="21"/>
    </row>
    <row r="204" spans="1:10" ht="13.5">
      <c r="A204" t="s">
        <v>159</v>
      </c>
      <c r="B204" t="s">
        <v>160</v>
      </c>
      <c r="D204" s="79" t="s">
        <v>477</v>
      </c>
      <c r="E204" s="79" t="s">
        <v>484</v>
      </c>
      <c r="F204" s="156" t="s">
        <v>489</v>
      </c>
      <c r="G204" s="79" t="s">
        <v>506</v>
      </c>
      <c r="H204" s="56" t="s">
        <v>514</v>
      </c>
      <c r="I204" s="37" t="s">
        <v>505</v>
      </c>
      <c r="J204" s="105" t="s">
        <v>478</v>
      </c>
    </row>
    <row r="205" spans="4:9" ht="12">
      <c r="D205" s="94"/>
      <c r="E205" s="148"/>
      <c r="F205" s="158"/>
      <c r="G205" s="148"/>
      <c r="H205" s="124"/>
      <c r="I205" s="114"/>
    </row>
    <row r="206" spans="1:10" ht="12">
      <c r="A206" t="s">
        <v>163</v>
      </c>
      <c r="B206" t="s">
        <v>101</v>
      </c>
      <c r="D206" s="142">
        <v>500</v>
      </c>
      <c r="E206" s="142">
        <v>500</v>
      </c>
      <c r="F206" s="107">
        <v>500</v>
      </c>
      <c r="G206" s="142">
        <v>500</v>
      </c>
      <c r="H206" s="58">
        <v>500</v>
      </c>
      <c r="I206" s="113">
        <f aca="true" t="shared" si="4" ref="I206:I218">H206-G206</f>
        <v>0</v>
      </c>
      <c r="J206" s="19" t="s">
        <v>407</v>
      </c>
    </row>
    <row r="207" spans="1:10" ht="12">
      <c r="A207" t="s">
        <v>164</v>
      </c>
      <c r="B207" t="s">
        <v>139</v>
      </c>
      <c r="D207" s="149">
        <v>2000</v>
      </c>
      <c r="E207" s="80">
        <v>2200</v>
      </c>
      <c r="F207" s="106">
        <v>2200</v>
      </c>
      <c r="G207" s="80">
        <v>1200</v>
      </c>
      <c r="H207" s="178">
        <v>1200</v>
      </c>
      <c r="I207" s="161">
        <f t="shared" si="4"/>
        <v>0</v>
      </c>
      <c r="J207" s="19" t="s">
        <v>407</v>
      </c>
    </row>
    <row r="208" spans="1:10" ht="12">
      <c r="A208" t="s">
        <v>165</v>
      </c>
      <c r="B208" t="s">
        <v>166</v>
      </c>
      <c r="D208" s="149">
        <f>3300+541</f>
        <v>3841</v>
      </c>
      <c r="E208" s="80">
        <f>3300+541</f>
        <v>3841</v>
      </c>
      <c r="F208" s="106">
        <f>3300+541</f>
        <v>3841</v>
      </c>
      <c r="G208" s="80">
        <f>3300+541</f>
        <v>3841</v>
      </c>
      <c r="H208" s="163">
        <f>3300+541</f>
        <v>3841</v>
      </c>
      <c r="I208" s="113">
        <f t="shared" si="4"/>
        <v>0</v>
      </c>
      <c r="J208" s="19" t="s">
        <v>407</v>
      </c>
    </row>
    <row r="209" spans="1:10" ht="12">
      <c r="A209" t="s">
        <v>167</v>
      </c>
      <c r="B209" t="s">
        <v>143</v>
      </c>
      <c r="D209" s="142">
        <v>4000</v>
      </c>
      <c r="E209" s="81">
        <v>4000</v>
      </c>
      <c r="F209" s="107">
        <v>4000</v>
      </c>
      <c r="G209" s="81">
        <v>4000</v>
      </c>
      <c r="H209" s="58">
        <v>4000</v>
      </c>
      <c r="I209" s="113">
        <f t="shared" si="4"/>
        <v>0</v>
      </c>
      <c r="J209" s="19" t="s">
        <v>407</v>
      </c>
    </row>
    <row r="210" spans="1:10" ht="12">
      <c r="A210" t="s">
        <v>168</v>
      </c>
      <c r="B210" t="s">
        <v>59</v>
      </c>
      <c r="D210" s="150">
        <v>900</v>
      </c>
      <c r="E210" s="84">
        <v>900</v>
      </c>
      <c r="F210" s="162">
        <v>900</v>
      </c>
      <c r="G210" s="84">
        <v>1900</v>
      </c>
      <c r="H210" s="187">
        <v>1900</v>
      </c>
      <c r="I210" s="161">
        <f t="shared" si="4"/>
        <v>0</v>
      </c>
      <c r="J210" s="19" t="s">
        <v>407</v>
      </c>
    </row>
    <row r="211" spans="1:10" ht="12">
      <c r="A211" t="s">
        <v>169</v>
      </c>
      <c r="B211" t="s">
        <v>149</v>
      </c>
      <c r="D211" s="149">
        <v>700</v>
      </c>
      <c r="E211" s="80">
        <v>500</v>
      </c>
      <c r="F211" s="106">
        <v>500</v>
      </c>
      <c r="G211" s="80">
        <v>500</v>
      </c>
      <c r="H211" s="163">
        <v>500</v>
      </c>
      <c r="I211" s="39">
        <f t="shared" si="4"/>
        <v>0</v>
      </c>
      <c r="J211" s="19" t="s">
        <v>407</v>
      </c>
    </row>
    <row r="212" spans="1:10" ht="12">
      <c r="A212" t="s">
        <v>170</v>
      </c>
      <c r="B212" t="s">
        <v>171</v>
      </c>
      <c r="D212" s="149">
        <v>2955</v>
      </c>
      <c r="E212" s="80">
        <v>2955</v>
      </c>
      <c r="F212" s="106">
        <v>2955</v>
      </c>
      <c r="G212" s="80">
        <v>2955</v>
      </c>
      <c r="H212" s="163">
        <v>2955</v>
      </c>
      <c r="I212" s="113">
        <f t="shared" si="4"/>
        <v>0</v>
      </c>
      <c r="J212" s="19" t="s">
        <v>407</v>
      </c>
    </row>
    <row r="213" spans="1:10" ht="12">
      <c r="A213" t="s">
        <v>172</v>
      </c>
      <c r="B213" t="s">
        <v>67</v>
      </c>
      <c r="D213" s="149">
        <v>700</v>
      </c>
      <c r="E213" s="80">
        <v>700</v>
      </c>
      <c r="F213" s="106">
        <v>700</v>
      </c>
      <c r="G213" s="80">
        <v>700</v>
      </c>
      <c r="H213" s="163">
        <v>700</v>
      </c>
      <c r="I213" s="113">
        <f t="shared" si="4"/>
        <v>0</v>
      </c>
      <c r="J213" s="19" t="s">
        <v>407</v>
      </c>
    </row>
    <row r="214" spans="1:10" ht="12">
      <c r="A214" t="s">
        <v>173</v>
      </c>
      <c r="B214" t="s">
        <v>151</v>
      </c>
      <c r="D214" s="149">
        <v>6000</v>
      </c>
      <c r="E214" s="80">
        <v>6000</v>
      </c>
      <c r="F214" s="106">
        <v>6000</v>
      </c>
      <c r="G214" s="80">
        <v>6000</v>
      </c>
      <c r="H214" s="163">
        <v>6000</v>
      </c>
      <c r="I214" s="113">
        <f t="shared" si="4"/>
        <v>0</v>
      </c>
      <c r="J214" s="19" t="s">
        <v>407</v>
      </c>
    </row>
    <row r="215" spans="1:10" ht="12">
      <c r="A215" t="s">
        <v>174</v>
      </c>
      <c r="B215" t="s">
        <v>449</v>
      </c>
      <c r="D215" s="149">
        <v>11729</v>
      </c>
      <c r="E215" s="80">
        <v>13206</v>
      </c>
      <c r="F215" s="106">
        <v>12623</v>
      </c>
      <c r="G215" s="80">
        <v>12192</v>
      </c>
      <c r="H215" s="178">
        <v>12192</v>
      </c>
      <c r="I215" s="161">
        <f t="shared" si="4"/>
        <v>0</v>
      </c>
      <c r="J215" s="19" t="s">
        <v>407</v>
      </c>
    </row>
    <row r="216" spans="1:10" ht="12">
      <c r="A216" t="s">
        <v>175</v>
      </c>
      <c r="B216" t="s">
        <v>176</v>
      </c>
      <c r="D216" s="149">
        <v>7200</v>
      </c>
      <c r="E216" s="149">
        <v>7200</v>
      </c>
      <c r="F216" s="109">
        <v>7200</v>
      </c>
      <c r="G216" s="149">
        <v>7200</v>
      </c>
      <c r="H216" s="110">
        <v>7200</v>
      </c>
      <c r="I216" s="113">
        <f t="shared" si="4"/>
        <v>0</v>
      </c>
      <c r="J216" s="19" t="s">
        <v>407</v>
      </c>
    </row>
    <row r="217" spans="1:10" ht="13.5">
      <c r="A217" t="s">
        <v>299</v>
      </c>
      <c r="B217" t="s">
        <v>448</v>
      </c>
      <c r="D217" s="82">
        <v>1800</v>
      </c>
      <c r="E217" s="82">
        <v>1800</v>
      </c>
      <c r="F217" s="108">
        <v>1800</v>
      </c>
      <c r="G217" s="82">
        <v>1800</v>
      </c>
      <c r="H217" s="61">
        <v>1800</v>
      </c>
      <c r="I217" s="40">
        <f t="shared" si="4"/>
        <v>0</v>
      </c>
      <c r="J217" s="19" t="s">
        <v>407</v>
      </c>
    </row>
    <row r="218" spans="2:10" ht="12">
      <c r="B218" t="s">
        <v>332</v>
      </c>
      <c r="D218" s="5">
        <f>SUM(D206:D217)</f>
        <v>42325</v>
      </c>
      <c r="E218" s="5">
        <f>SUM(E206:E217)</f>
        <v>43802</v>
      </c>
      <c r="F218" s="62">
        <f>SUM(F206:F217)</f>
        <v>43219</v>
      </c>
      <c r="G218" s="5">
        <f>SUM(G206:G217)</f>
        <v>42788</v>
      </c>
      <c r="H218" s="180">
        <f>SUM(H206:H217)</f>
        <v>42788</v>
      </c>
      <c r="I218" s="161">
        <f t="shared" si="4"/>
        <v>0</v>
      </c>
      <c r="J218" s="19" t="s">
        <v>407</v>
      </c>
    </row>
    <row r="219" spans="8:9" ht="12">
      <c r="H219" s="126"/>
      <c r="I219" s="127"/>
    </row>
    <row r="220" spans="1:9" ht="12">
      <c r="A220" s="170" t="s">
        <v>490</v>
      </c>
      <c r="B220" s="4" t="s">
        <v>491</v>
      </c>
      <c r="H220" s="126"/>
      <c r="I220" s="127"/>
    </row>
    <row r="221" spans="8:9" ht="12">
      <c r="H221" s="126"/>
      <c r="I221" s="127"/>
    </row>
    <row r="222" spans="1:10" ht="12">
      <c r="A222" s="4" t="s">
        <v>492</v>
      </c>
      <c r="B222" s="4" t="s">
        <v>496</v>
      </c>
      <c r="E222" s="5">
        <v>900</v>
      </c>
      <c r="F222" s="5">
        <v>900</v>
      </c>
      <c r="G222" s="5">
        <v>900</v>
      </c>
      <c r="H222" s="111">
        <v>900</v>
      </c>
      <c r="I222" s="113">
        <f>H222-G222</f>
        <v>0</v>
      </c>
      <c r="J222" s="19" t="s">
        <v>407</v>
      </c>
    </row>
    <row r="223" spans="1:10" ht="12">
      <c r="A223" s="4" t="s">
        <v>493</v>
      </c>
      <c r="B223" s="4" t="s">
        <v>49</v>
      </c>
      <c r="E223" s="5">
        <v>69</v>
      </c>
      <c r="F223" s="5">
        <v>69</v>
      </c>
      <c r="G223" s="5">
        <v>69</v>
      </c>
      <c r="H223" s="111">
        <v>69</v>
      </c>
      <c r="I223" s="113">
        <f>H223-G223</f>
        <v>0</v>
      </c>
      <c r="J223" s="19" t="s">
        <v>407</v>
      </c>
    </row>
    <row r="224" spans="1:10" ht="12">
      <c r="A224" s="4" t="s">
        <v>494</v>
      </c>
      <c r="B224" t="s">
        <v>162</v>
      </c>
      <c r="E224" s="5">
        <v>44</v>
      </c>
      <c r="F224" s="5">
        <v>44</v>
      </c>
      <c r="G224" s="5">
        <f>G222*0.0285</f>
        <v>25.650000000000002</v>
      </c>
      <c r="H224" s="180">
        <f>H222*0.0285</f>
        <v>25.650000000000002</v>
      </c>
      <c r="I224" s="161">
        <f>H224-G224</f>
        <v>0</v>
      </c>
      <c r="J224" s="19" t="s">
        <v>407</v>
      </c>
    </row>
    <row r="225" spans="1:10" ht="13.5">
      <c r="A225" s="4" t="s">
        <v>495</v>
      </c>
      <c r="B225" t="s">
        <v>53</v>
      </c>
      <c r="E225" s="48">
        <v>185</v>
      </c>
      <c r="F225" s="48">
        <v>185</v>
      </c>
      <c r="G225" s="48">
        <v>185</v>
      </c>
      <c r="H225" s="78">
        <v>185</v>
      </c>
      <c r="I225" s="40">
        <f>H225-G225</f>
        <v>0</v>
      </c>
      <c r="J225" s="19" t="s">
        <v>407</v>
      </c>
    </row>
    <row r="226" spans="2:10" ht="12">
      <c r="B226" s="4" t="s">
        <v>497</v>
      </c>
      <c r="E226" s="5">
        <f>SUM(E222:E225)</f>
        <v>1198</v>
      </c>
      <c r="F226" s="5">
        <f>SUM(F222:F225)</f>
        <v>1198</v>
      </c>
      <c r="G226" s="5">
        <f>SUM(G222:G225)</f>
        <v>1179.65</v>
      </c>
      <c r="H226" s="180">
        <f>SUM(H222:H225)</f>
        <v>1179.65</v>
      </c>
      <c r="I226" s="161">
        <f>H226-G226</f>
        <v>0</v>
      </c>
      <c r="J226" s="19" t="s">
        <v>407</v>
      </c>
    </row>
    <row r="227" spans="8:9" ht="12">
      <c r="H227" s="126"/>
      <c r="I227" s="114"/>
    </row>
    <row r="228" spans="1:9" ht="12">
      <c r="A228" s="6" t="s">
        <v>453</v>
      </c>
      <c r="B228" t="s">
        <v>455</v>
      </c>
      <c r="H228" s="126"/>
      <c r="I228" s="114"/>
    </row>
    <row r="229" spans="8:9" ht="12">
      <c r="H229" s="126"/>
      <c r="I229" s="114"/>
    </row>
    <row r="230" spans="1:10" ht="12">
      <c r="A230" t="s">
        <v>456</v>
      </c>
      <c r="B230" t="s">
        <v>53</v>
      </c>
      <c r="D230" s="80">
        <v>185</v>
      </c>
      <c r="E230" s="80">
        <v>300</v>
      </c>
      <c r="F230" s="80">
        <v>300</v>
      </c>
      <c r="G230" s="80">
        <v>300</v>
      </c>
      <c r="H230" s="110">
        <v>300</v>
      </c>
      <c r="I230" s="113">
        <f>H230-G230</f>
        <v>0</v>
      </c>
      <c r="J230" s="19" t="s">
        <v>407</v>
      </c>
    </row>
    <row r="231" spans="1:10" ht="13.5">
      <c r="A231" t="s">
        <v>457</v>
      </c>
      <c r="B231" t="s">
        <v>59</v>
      </c>
      <c r="D231" s="82">
        <v>600</v>
      </c>
      <c r="E231" s="82">
        <v>300</v>
      </c>
      <c r="F231" s="82">
        <v>300</v>
      </c>
      <c r="G231" s="82">
        <v>300</v>
      </c>
      <c r="H231" s="61">
        <v>300</v>
      </c>
      <c r="I231" s="40">
        <f>H231-G231</f>
        <v>0</v>
      </c>
      <c r="J231" s="19" t="s">
        <v>407</v>
      </c>
    </row>
    <row r="232" spans="2:10" ht="12.75" thickBot="1">
      <c r="B232" t="s">
        <v>460</v>
      </c>
      <c r="D232" s="5">
        <f>SUM(D230:D231)</f>
        <v>785</v>
      </c>
      <c r="E232" s="5">
        <f>SUM(E230:E231)</f>
        <v>600</v>
      </c>
      <c r="F232" s="5">
        <f>SUM(F230:F231)</f>
        <v>600</v>
      </c>
      <c r="G232" s="5">
        <f>SUM(G230:G231)</f>
        <v>600</v>
      </c>
      <c r="H232" s="116">
        <f>SUM(H230:H231)</f>
        <v>600</v>
      </c>
      <c r="I232" s="113">
        <f>H232-G232</f>
        <v>0</v>
      </c>
      <c r="J232" s="19" t="s">
        <v>407</v>
      </c>
    </row>
    <row r="233" spans="4:10" ht="12">
      <c r="D233" s="5"/>
      <c r="E233" s="5"/>
      <c r="F233" s="5"/>
      <c r="G233" s="5"/>
      <c r="H233" s="117"/>
      <c r="I233" s="113"/>
      <c r="J233" s="19"/>
    </row>
    <row r="234" spans="4:10" ht="12">
      <c r="D234" s="5"/>
      <c r="E234" s="5"/>
      <c r="F234" s="5"/>
      <c r="G234" s="5"/>
      <c r="H234" s="117"/>
      <c r="I234" s="113"/>
      <c r="J234" s="19"/>
    </row>
    <row r="235" spans="8:9" ht="12">
      <c r="H235" s="118"/>
      <c r="I235" s="119"/>
    </row>
    <row r="236" spans="8:9" ht="13.5" customHeight="1">
      <c r="H236" s="118"/>
      <c r="I236" s="119"/>
    </row>
    <row r="237" spans="8:10" ht="12">
      <c r="H237" s="128"/>
      <c r="I237" s="114"/>
      <c r="J237">
        <v>6</v>
      </c>
    </row>
    <row r="238" spans="2:10" ht="18">
      <c r="B238" s="52" t="s">
        <v>340</v>
      </c>
      <c r="C238" s="49"/>
      <c r="D238" s="49"/>
      <c r="E238" s="49"/>
      <c r="F238" s="49"/>
      <c r="G238" s="49"/>
      <c r="H238" s="129"/>
      <c r="I238" s="121"/>
      <c r="J238" s="49"/>
    </row>
    <row r="239" spans="8:9" ht="12">
      <c r="H239" s="128"/>
      <c r="I239" s="114"/>
    </row>
    <row r="240" spans="4:10" ht="13.5" thickBot="1">
      <c r="D240" s="8"/>
      <c r="E240" s="8"/>
      <c r="F240" s="33"/>
      <c r="G240" s="8"/>
      <c r="H240" s="123"/>
      <c r="I240" s="86" t="s">
        <v>451</v>
      </c>
      <c r="J240" s="21"/>
    </row>
    <row r="241" spans="1:10" ht="13.5">
      <c r="A241" t="s">
        <v>178</v>
      </c>
      <c r="B241" t="s">
        <v>334</v>
      </c>
      <c r="D241" s="79" t="s">
        <v>477</v>
      </c>
      <c r="E241" s="79" t="s">
        <v>484</v>
      </c>
      <c r="F241" s="156" t="s">
        <v>489</v>
      </c>
      <c r="G241" s="79" t="s">
        <v>506</v>
      </c>
      <c r="H241" s="56" t="s">
        <v>514</v>
      </c>
      <c r="I241" s="37" t="s">
        <v>505</v>
      </c>
      <c r="J241" s="105" t="s">
        <v>478</v>
      </c>
    </row>
    <row r="242" spans="4:9" ht="12">
      <c r="D242" s="96"/>
      <c r="E242" s="175"/>
      <c r="F242" s="159"/>
      <c r="G242" s="175"/>
      <c r="H242" s="126"/>
      <c r="I242" s="114"/>
    </row>
    <row r="243" spans="1:10" ht="12">
      <c r="A243" t="s">
        <v>179</v>
      </c>
      <c r="B243" t="s">
        <v>91</v>
      </c>
      <c r="D243" s="149">
        <v>500</v>
      </c>
      <c r="E243" s="149">
        <v>500</v>
      </c>
      <c r="F243" s="109">
        <v>500</v>
      </c>
      <c r="G243" s="149">
        <v>500</v>
      </c>
      <c r="H243" s="110">
        <v>500</v>
      </c>
      <c r="I243" s="113">
        <f aca="true" t="shared" si="5" ref="I243:I251">H243-G243</f>
        <v>0</v>
      </c>
      <c r="J243" s="19" t="s">
        <v>407</v>
      </c>
    </row>
    <row r="244" spans="1:10" ht="12">
      <c r="A244" t="s">
        <v>180</v>
      </c>
      <c r="B244" t="s">
        <v>181</v>
      </c>
      <c r="D244" s="149">
        <f aca="true" t="shared" si="6" ref="D244:H245">150*12</f>
        <v>1800</v>
      </c>
      <c r="E244" s="149">
        <f t="shared" si="6"/>
        <v>1800</v>
      </c>
      <c r="F244" s="109">
        <f t="shared" si="6"/>
        <v>1800</v>
      </c>
      <c r="G244" s="149">
        <f t="shared" si="6"/>
        <v>1800</v>
      </c>
      <c r="H244" s="110">
        <f t="shared" si="6"/>
        <v>1800</v>
      </c>
      <c r="I244" s="113">
        <f t="shared" si="5"/>
        <v>0</v>
      </c>
      <c r="J244" s="19" t="s">
        <v>407</v>
      </c>
    </row>
    <row r="245" spans="1:10" ht="12">
      <c r="A245" t="s">
        <v>465</v>
      </c>
      <c r="B245" t="s">
        <v>466</v>
      </c>
      <c r="D245" s="149">
        <f t="shared" si="6"/>
        <v>1800</v>
      </c>
      <c r="E245" s="149">
        <f t="shared" si="6"/>
        <v>1800</v>
      </c>
      <c r="F245" s="109">
        <f t="shared" si="6"/>
        <v>1800</v>
      </c>
      <c r="G245" s="149">
        <f t="shared" si="6"/>
        <v>1800</v>
      </c>
      <c r="H245" s="110">
        <f t="shared" si="6"/>
        <v>1800</v>
      </c>
      <c r="I245" s="113">
        <f t="shared" si="5"/>
        <v>0</v>
      </c>
      <c r="J245" s="19" t="s">
        <v>407</v>
      </c>
    </row>
    <row r="246" spans="1:10" ht="12">
      <c r="A246" t="s">
        <v>182</v>
      </c>
      <c r="B246" t="s">
        <v>76</v>
      </c>
      <c r="D246" s="149">
        <f>ROUND((D244+D245)*0.0765,0)</f>
        <v>275</v>
      </c>
      <c r="E246" s="149">
        <f>ROUND((E244+E245)*0.0765,0)</f>
        <v>275</v>
      </c>
      <c r="F246" s="109">
        <f>ROUND((F244+F245)*0.0765,0)</f>
        <v>275</v>
      </c>
      <c r="G246" s="149">
        <f>ROUND((G244+G245)*0.0765,0)</f>
        <v>275</v>
      </c>
      <c r="H246" s="110">
        <f>ROUND((H244+H245)*0.0765,0)</f>
        <v>275</v>
      </c>
      <c r="I246" s="113">
        <f t="shared" si="5"/>
        <v>0</v>
      </c>
      <c r="J246" s="19" t="s">
        <v>407</v>
      </c>
    </row>
    <row r="247" spans="1:10" ht="12">
      <c r="A247" t="s">
        <v>183</v>
      </c>
      <c r="B247" t="s">
        <v>162</v>
      </c>
      <c r="D247" s="149">
        <f>ROUND((D244+D245)*0.0695,0)</f>
        <v>250</v>
      </c>
      <c r="E247" s="149">
        <v>176</v>
      </c>
      <c r="F247" s="106">
        <f>ROUND((F244+F245)*0.0285,0)</f>
        <v>103</v>
      </c>
      <c r="G247" s="149">
        <f>ROUND((G244+G245)*0.0285,0)</f>
        <v>103</v>
      </c>
      <c r="H247" s="163">
        <f>ROUND((H244+H245)*0.0285,0)</f>
        <v>103</v>
      </c>
      <c r="I247" s="39">
        <f t="shared" si="5"/>
        <v>0</v>
      </c>
      <c r="J247" s="19" t="s">
        <v>407</v>
      </c>
    </row>
    <row r="248" spans="1:10" ht="12">
      <c r="A248" t="s">
        <v>472</v>
      </c>
      <c r="B248" t="s">
        <v>51</v>
      </c>
      <c r="D248" s="149">
        <v>500</v>
      </c>
      <c r="E248" s="149">
        <v>500</v>
      </c>
      <c r="F248" s="109">
        <v>500</v>
      </c>
      <c r="G248" s="149">
        <v>500</v>
      </c>
      <c r="H248" s="110">
        <v>500</v>
      </c>
      <c r="I248" s="113">
        <f t="shared" si="5"/>
        <v>0</v>
      </c>
      <c r="J248" s="19" t="s">
        <v>407</v>
      </c>
    </row>
    <row r="249" spans="1:10" ht="12">
      <c r="A249" t="s">
        <v>411</v>
      </c>
      <c r="B249" t="s">
        <v>59</v>
      </c>
      <c r="D249" s="149">
        <f>45*12</f>
        <v>540</v>
      </c>
      <c r="E249" s="149">
        <f>45*12</f>
        <v>540</v>
      </c>
      <c r="F249" s="109">
        <f>45*12</f>
        <v>540</v>
      </c>
      <c r="G249" s="149">
        <f>45*12</f>
        <v>540</v>
      </c>
      <c r="H249" s="110">
        <f>45*12</f>
        <v>540</v>
      </c>
      <c r="I249" s="113">
        <f t="shared" si="5"/>
        <v>0</v>
      </c>
      <c r="J249" s="19" t="s">
        <v>407</v>
      </c>
    </row>
    <row r="250" spans="1:10" ht="13.5">
      <c r="A250" t="s">
        <v>184</v>
      </c>
      <c r="B250" t="s">
        <v>61</v>
      </c>
      <c r="D250" s="82">
        <v>500</v>
      </c>
      <c r="E250" s="82">
        <v>500</v>
      </c>
      <c r="F250" s="108">
        <v>500</v>
      </c>
      <c r="G250" s="82">
        <v>500</v>
      </c>
      <c r="H250" s="61">
        <v>500</v>
      </c>
      <c r="I250" s="40">
        <f t="shared" si="5"/>
        <v>0</v>
      </c>
      <c r="J250" s="19" t="s">
        <v>407</v>
      </c>
    </row>
    <row r="251" spans="2:10" ht="12.75" thickBot="1">
      <c r="B251" t="s">
        <v>335</v>
      </c>
      <c r="D251" s="5">
        <f>SUM(D243:D250)</f>
        <v>6165</v>
      </c>
      <c r="E251" s="5">
        <f>SUM(E243:E250)</f>
        <v>6091</v>
      </c>
      <c r="F251" s="5">
        <f>SUM(F243:F250)</f>
        <v>6018</v>
      </c>
      <c r="G251" s="5">
        <f>SUM(G243:G250)</f>
        <v>6018</v>
      </c>
      <c r="H251" s="116">
        <f>SUM(H243:H250)</f>
        <v>6018</v>
      </c>
      <c r="I251" s="113">
        <f t="shared" si="5"/>
        <v>0</v>
      </c>
      <c r="J251" s="19" t="s">
        <v>407</v>
      </c>
    </row>
    <row r="252" spans="4:10" ht="12">
      <c r="D252" s="5"/>
      <c r="E252" s="5"/>
      <c r="F252" s="5"/>
      <c r="G252" s="5"/>
      <c r="H252" s="117"/>
      <c r="I252" s="113"/>
      <c r="J252" s="19"/>
    </row>
    <row r="253" spans="4:10" ht="12">
      <c r="D253" s="5"/>
      <c r="E253" s="5"/>
      <c r="F253" s="5"/>
      <c r="G253" s="5"/>
      <c r="H253" s="117"/>
      <c r="I253" s="113"/>
      <c r="J253" s="19"/>
    </row>
    <row r="254" spans="4:10" ht="12">
      <c r="D254" s="5"/>
      <c r="E254" s="5"/>
      <c r="F254" s="5"/>
      <c r="G254" s="5"/>
      <c r="H254" s="118"/>
      <c r="I254" s="119"/>
      <c r="J254" s="19"/>
    </row>
    <row r="255" spans="8:9" ht="12">
      <c r="H255" s="118"/>
      <c r="I255" s="119"/>
    </row>
    <row r="256" spans="8:10" ht="12">
      <c r="H256" s="118"/>
      <c r="I256" s="119"/>
      <c r="J256">
        <v>7</v>
      </c>
    </row>
    <row r="257" spans="2:10" ht="18">
      <c r="B257" s="52" t="s">
        <v>340</v>
      </c>
      <c r="C257" s="49"/>
      <c r="D257" s="49"/>
      <c r="E257" s="49"/>
      <c r="F257" s="49"/>
      <c r="G257" s="49"/>
      <c r="H257" s="121"/>
      <c r="I257" s="121"/>
      <c r="J257" s="49"/>
    </row>
    <row r="258" spans="8:9" ht="12">
      <c r="H258" s="122"/>
      <c r="I258" s="114"/>
    </row>
    <row r="259" spans="4:10" ht="13.5" thickBot="1">
      <c r="D259" s="8"/>
      <c r="E259" s="8"/>
      <c r="F259" s="33"/>
      <c r="G259" s="8"/>
      <c r="H259" s="123"/>
      <c r="I259" s="86" t="s">
        <v>451</v>
      </c>
      <c r="J259" s="21"/>
    </row>
    <row r="260" spans="1:10" ht="13.5">
      <c r="A260" t="s">
        <v>185</v>
      </c>
      <c r="B260" t="s">
        <v>333</v>
      </c>
      <c r="D260" s="79" t="s">
        <v>477</v>
      </c>
      <c r="E260" s="79" t="s">
        <v>484</v>
      </c>
      <c r="F260" s="156" t="s">
        <v>489</v>
      </c>
      <c r="G260" s="79" t="s">
        <v>506</v>
      </c>
      <c r="H260" s="56" t="s">
        <v>514</v>
      </c>
      <c r="I260" s="37" t="s">
        <v>505</v>
      </c>
      <c r="J260" s="105" t="s">
        <v>478</v>
      </c>
    </row>
    <row r="261" spans="3:9" s="3" customFormat="1" ht="9.75">
      <c r="C261" s="18"/>
      <c r="D261" s="95"/>
      <c r="E261" s="95"/>
      <c r="F261" s="157"/>
      <c r="G261" s="95"/>
      <c r="H261" s="60"/>
      <c r="I261" s="20"/>
    </row>
    <row r="262" spans="1:10" ht="12">
      <c r="A262" t="s">
        <v>454</v>
      </c>
      <c r="B262" t="s">
        <v>161</v>
      </c>
      <c r="C262" s="30"/>
      <c r="D262" s="149">
        <v>2400</v>
      </c>
      <c r="E262" s="80">
        <v>2400</v>
      </c>
      <c r="F262" s="106">
        <v>2400</v>
      </c>
      <c r="G262" s="80">
        <v>2400</v>
      </c>
      <c r="H262" s="163">
        <v>2400</v>
      </c>
      <c r="I262" s="113">
        <f aca="true" t="shared" si="7" ref="I262:I289">H262-G262</f>
        <v>0</v>
      </c>
      <c r="J262" s="19" t="s">
        <v>407</v>
      </c>
    </row>
    <row r="263" spans="1:10" ht="12">
      <c r="A263" t="s">
        <v>186</v>
      </c>
      <c r="B263" t="s">
        <v>187</v>
      </c>
      <c r="D263" s="149">
        <v>22766</v>
      </c>
      <c r="E263" s="80">
        <v>23449</v>
      </c>
      <c r="F263" s="106">
        <v>24014</v>
      </c>
      <c r="G263" s="80">
        <v>22268</v>
      </c>
      <c r="H263" s="178">
        <v>22268</v>
      </c>
      <c r="I263" s="161">
        <f t="shared" si="7"/>
        <v>0</v>
      </c>
      <c r="J263" s="19" t="s">
        <v>407</v>
      </c>
    </row>
    <row r="264" spans="1:10" ht="12">
      <c r="A264" t="s">
        <v>188</v>
      </c>
      <c r="B264" t="s">
        <v>450</v>
      </c>
      <c r="C264" s="98"/>
      <c r="D264" s="149">
        <v>28912</v>
      </c>
      <c r="E264" s="80">
        <v>29780</v>
      </c>
      <c r="F264" s="106">
        <v>25776</v>
      </c>
      <c r="G264" s="80">
        <v>24330</v>
      </c>
      <c r="H264" s="178">
        <v>24330</v>
      </c>
      <c r="I264" s="161">
        <f t="shared" si="7"/>
        <v>0</v>
      </c>
      <c r="J264" s="19" t="s">
        <v>407</v>
      </c>
    </row>
    <row r="265" spans="1:10" ht="12">
      <c r="A265" t="s">
        <v>189</v>
      </c>
      <c r="B265" t="s">
        <v>467</v>
      </c>
      <c r="C265" s="171"/>
      <c r="D265" s="149">
        <f>36213*0.45</f>
        <v>16295.85</v>
      </c>
      <c r="E265" s="80">
        <v>16785</v>
      </c>
      <c r="F265" s="106">
        <v>17419</v>
      </c>
      <c r="G265" s="80">
        <v>18075</v>
      </c>
      <c r="H265" s="178">
        <v>18075</v>
      </c>
      <c r="I265" s="161">
        <f t="shared" si="7"/>
        <v>0</v>
      </c>
      <c r="J265" s="19" t="s">
        <v>407</v>
      </c>
    </row>
    <row r="266" spans="1:10" ht="12">
      <c r="A266" s="4" t="s">
        <v>507</v>
      </c>
      <c r="B266" t="s">
        <v>469</v>
      </c>
      <c r="C266" s="30"/>
      <c r="D266" s="149">
        <f>17.84*12</f>
        <v>214.07999999999998</v>
      </c>
      <c r="E266" s="80">
        <f>17.84*12</f>
        <v>214.07999999999998</v>
      </c>
      <c r="F266" s="106">
        <f>17.84*12</f>
        <v>214.07999999999998</v>
      </c>
      <c r="G266" s="80">
        <v>229</v>
      </c>
      <c r="H266" s="178">
        <v>229</v>
      </c>
      <c r="I266" s="161">
        <f t="shared" si="7"/>
        <v>0</v>
      </c>
      <c r="J266" s="19" t="s">
        <v>407</v>
      </c>
    </row>
    <row r="267" spans="1:11" ht="12">
      <c r="A267" t="s">
        <v>190</v>
      </c>
      <c r="B267" t="s">
        <v>426</v>
      </c>
      <c r="C267" s="98"/>
      <c r="D267" s="149">
        <f>((399.01+2155.28)*12)/2</f>
        <v>15325.74</v>
      </c>
      <c r="E267" s="80">
        <v>5488</v>
      </c>
      <c r="F267" s="106">
        <v>6237</v>
      </c>
      <c r="G267" s="80">
        <v>7796</v>
      </c>
      <c r="H267" s="178">
        <v>7796</v>
      </c>
      <c r="I267" s="161">
        <f t="shared" si="7"/>
        <v>0</v>
      </c>
      <c r="J267" s="19" t="s">
        <v>407</v>
      </c>
      <c r="K267" s="9"/>
    </row>
    <row r="268" spans="1:11" ht="12">
      <c r="A268" s="4" t="s">
        <v>500</v>
      </c>
      <c r="B268" s="4" t="s">
        <v>499</v>
      </c>
      <c r="C268" s="98"/>
      <c r="D268" s="149"/>
      <c r="E268" s="80"/>
      <c r="F268" s="106">
        <v>1875</v>
      </c>
      <c r="G268" s="80">
        <v>1875</v>
      </c>
      <c r="H268" s="163">
        <v>1875</v>
      </c>
      <c r="I268" s="39">
        <f t="shared" si="7"/>
        <v>0</v>
      </c>
      <c r="J268" s="19" t="s">
        <v>407</v>
      </c>
      <c r="K268" s="9"/>
    </row>
    <row r="269" spans="1:11" ht="12">
      <c r="A269" t="s">
        <v>191</v>
      </c>
      <c r="B269" t="s">
        <v>75</v>
      </c>
      <c r="D269" s="149">
        <f>1838*2</f>
        <v>3676</v>
      </c>
      <c r="E269" s="80">
        <v>3781</v>
      </c>
      <c r="F269" s="106">
        <f>1923*2</f>
        <v>3846</v>
      </c>
      <c r="G269" s="80">
        <v>3999</v>
      </c>
      <c r="H269" s="178">
        <v>3999</v>
      </c>
      <c r="I269" s="161">
        <f t="shared" si="7"/>
        <v>0</v>
      </c>
      <c r="J269" s="19" t="s">
        <v>407</v>
      </c>
      <c r="K269" s="9"/>
    </row>
    <row r="270" spans="1:10" ht="12">
      <c r="A270" t="s">
        <v>192</v>
      </c>
      <c r="B270" t="s">
        <v>76</v>
      </c>
      <c r="D270" s="149">
        <f>ROUND((D262+D263+D264+D265+D273)*0.0765,0)</f>
        <v>5575</v>
      </c>
      <c r="E270" s="80">
        <f>ROUND((E262+E263+E264+E265+E273)*0.0765,0)</f>
        <v>5807</v>
      </c>
      <c r="F270" s="106">
        <f>ROUND((F262+F263+F264+F265+F273)*0.0765,0)</f>
        <v>5631</v>
      </c>
      <c r="G270" s="80">
        <f>ROUND((G262+G263+G264+G265+G273)*0.0765,0)</f>
        <v>5475</v>
      </c>
      <c r="H270" s="178">
        <f>ROUND((H262+H263+H264+H265+H273)*0.0765,0)</f>
        <v>5475</v>
      </c>
      <c r="I270" s="161">
        <f t="shared" si="7"/>
        <v>0</v>
      </c>
      <c r="J270" s="19" t="s">
        <v>407</v>
      </c>
    </row>
    <row r="271" spans="1:10" ht="12">
      <c r="A271" t="s">
        <v>193</v>
      </c>
      <c r="B271" t="s">
        <v>162</v>
      </c>
      <c r="D271" s="149">
        <f>(8500+8500+2400)*0.0695</f>
        <v>1348.3000000000002</v>
      </c>
      <c r="E271" s="80">
        <f>(8750+8750+2400)*0.049</f>
        <v>975.1</v>
      </c>
      <c r="F271" s="106">
        <f>(8750+8750+2400)*0.0285</f>
        <v>567.15</v>
      </c>
      <c r="G271" s="80">
        <f>(9500+9500+2400)*0.0285</f>
        <v>609.9</v>
      </c>
      <c r="H271" s="178">
        <f>(9500+9500+2400)*0.0285</f>
        <v>609.9</v>
      </c>
      <c r="I271" s="161">
        <f t="shared" si="7"/>
        <v>0</v>
      </c>
      <c r="J271" s="19" t="s">
        <v>407</v>
      </c>
    </row>
    <row r="272" spans="1:10" ht="12">
      <c r="A272" t="s">
        <v>194</v>
      </c>
      <c r="B272" t="s">
        <v>195</v>
      </c>
      <c r="D272" s="149">
        <v>200</v>
      </c>
      <c r="E272" s="80">
        <v>200</v>
      </c>
      <c r="F272" s="106">
        <v>200</v>
      </c>
      <c r="G272" s="80">
        <v>200</v>
      </c>
      <c r="H272" s="163">
        <v>200</v>
      </c>
      <c r="I272" s="39">
        <f t="shared" si="7"/>
        <v>0</v>
      </c>
      <c r="J272" s="19" t="s">
        <v>407</v>
      </c>
    </row>
    <row r="273" spans="1:10" ht="12">
      <c r="A273" t="s">
        <v>196</v>
      </c>
      <c r="B273" t="s">
        <v>78</v>
      </c>
      <c r="D273" s="149">
        <v>2500</v>
      </c>
      <c r="E273" s="80">
        <v>3500</v>
      </c>
      <c r="F273" s="106">
        <v>4000</v>
      </c>
      <c r="G273" s="80">
        <v>4500</v>
      </c>
      <c r="H273" s="178">
        <v>4500</v>
      </c>
      <c r="I273" s="161">
        <f t="shared" si="7"/>
        <v>0</v>
      </c>
      <c r="J273" s="19" t="s">
        <v>407</v>
      </c>
    </row>
    <row r="274" spans="1:10" ht="12">
      <c r="A274" t="s">
        <v>197</v>
      </c>
      <c r="B274" t="s">
        <v>101</v>
      </c>
      <c r="D274" s="149">
        <v>250</v>
      </c>
      <c r="E274" s="80">
        <v>250</v>
      </c>
      <c r="F274" s="106">
        <v>250</v>
      </c>
      <c r="G274" s="80">
        <v>250</v>
      </c>
      <c r="H274" s="163">
        <v>250</v>
      </c>
      <c r="I274" s="39">
        <f t="shared" si="7"/>
        <v>0</v>
      </c>
      <c r="J274" s="19" t="s">
        <v>407</v>
      </c>
    </row>
    <row r="275" spans="1:10" ht="12">
      <c r="A275" t="s">
        <v>198</v>
      </c>
      <c r="B275" t="s">
        <v>139</v>
      </c>
      <c r="D275" s="149">
        <v>2100</v>
      </c>
      <c r="E275" s="80">
        <v>1000</v>
      </c>
      <c r="F275" s="106">
        <v>1000</v>
      </c>
      <c r="G275" s="80">
        <v>1000</v>
      </c>
      <c r="H275" s="163">
        <v>1000</v>
      </c>
      <c r="I275" s="39">
        <f t="shared" si="7"/>
        <v>0</v>
      </c>
      <c r="J275" s="19" t="s">
        <v>407</v>
      </c>
    </row>
    <row r="276" spans="1:10" ht="12">
      <c r="A276" t="s">
        <v>199</v>
      </c>
      <c r="B276" t="s">
        <v>104</v>
      </c>
      <c r="D276" s="149">
        <v>1500</v>
      </c>
      <c r="E276" s="80">
        <v>2600</v>
      </c>
      <c r="F276" s="106">
        <v>2600</v>
      </c>
      <c r="G276" s="80">
        <v>3000</v>
      </c>
      <c r="H276" s="178">
        <v>3000</v>
      </c>
      <c r="I276" s="161">
        <f t="shared" si="7"/>
        <v>0</v>
      </c>
      <c r="J276" s="19" t="s">
        <v>407</v>
      </c>
    </row>
    <row r="277" spans="1:10" ht="12">
      <c r="A277" t="s">
        <v>200</v>
      </c>
      <c r="B277" t="s">
        <v>201</v>
      </c>
      <c r="D277" s="149">
        <v>350</v>
      </c>
      <c r="E277" s="80">
        <v>350</v>
      </c>
      <c r="F277" s="106">
        <v>350</v>
      </c>
      <c r="G277" s="80">
        <v>350</v>
      </c>
      <c r="H277" s="163">
        <v>350</v>
      </c>
      <c r="I277" s="113">
        <f t="shared" si="7"/>
        <v>0</v>
      </c>
      <c r="J277" s="19" t="s">
        <v>407</v>
      </c>
    </row>
    <row r="278" spans="1:10" ht="12">
      <c r="A278" t="s">
        <v>202</v>
      </c>
      <c r="B278" t="s">
        <v>203</v>
      </c>
      <c r="D278" s="149">
        <v>2500</v>
      </c>
      <c r="E278" s="80">
        <v>2500</v>
      </c>
      <c r="F278" s="106">
        <v>2500</v>
      </c>
      <c r="G278" s="80">
        <v>2500</v>
      </c>
      <c r="H278" s="163">
        <v>2500</v>
      </c>
      <c r="I278" s="113">
        <f t="shared" si="7"/>
        <v>0</v>
      </c>
      <c r="J278" s="19" t="s">
        <v>407</v>
      </c>
    </row>
    <row r="279" spans="1:10" ht="12">
      <c r="A279" t="s">
        <v>204</v>
      </c>
      <c r="B279" t="s">
        <v>205</v>
      </c>
      <c r="D279" s="149">
        <v>1200</v>
      </c>
      <c r="E279" s="80">
        <v>1200</v>
      </c>
      <c r="F279" s="106">
        <v>1200</v>
      </c>
      <c r="G279" s="80">
        <v>1200</v>
      </c>
      <c r="H279" s="163">
        <v>1200</v>
      </c>
      <c r="I279" s="113">
        <f t="shared" si="7"/>
        <v>0</v>
      </c>
      <c r="J279" s="19" t="s">
        <v>407</v>
      </c>
    </row>
    <row r="280" spans="1:10" ht="12">
      <c r="A280" t="s">
        <v>206</v>
      </c>
      <c r="B280" t="s">
        <v>177</v>
      </c>
      <c r="D280" s="149">
        <v>500</v>
      </c>
      <c r="E280" s="80">
        <v>500</v>
      </c>
      <c r="F280" s="106">
        <v>500</v>
      </c>
      <c r="G280" s="80">
        <v>500</v>
      </c>
      <c r="H280" s="163">
        <v>500</v>
      </c>
      <c r="I280" s="113">
        <f t="shared" si="7"/>
        <v>0</v>
      </c>
      <c r="J280" s="19" t="s">
        <v>407</v>
      </c>
    </row>
    <row r="281" spans="1:10" ht="12">
      <c r="A281" t="s">
        <v>458</v>
      </c>
      <c r="B281" t="s">
        <v>459</v>
      </c>
      <c r="D281" s="149">
        <v>500</v>
      </c>
      <c r="E281" s="80">
        <v>500</v>
      </c>
      <c r="F281" s="106">
        <v>500</v>
      </c>
      <c r="G281" s="80">
        <v>500</v>
      </c>
      <c r="H281" s="163">
        <v>500</v>
      </c>
      <c r="I281" s="113">
        <f t="shared" si="7"/>
        <v>0</v>
      </c>
      <c r="J281" s="19" t="s">
        <v>407</v>
      </c>
    </row>
    <row r="282" spans="1:10" ht="12">
      <c r="A282" t="s">
        <v>207</v>
      </c>
      <c r="B282" t="s">
        <v>53</v>
      </c>
      <c r="D282" s="149">
        <v>700</v>
      </c>
      <c r="E282" s="80">
        <v>700</v>
      </c>
      <c r="F282" s="106">
        <v>700</v>
      </c>
      <c r="G282" s="80">
        <v>700</v>
      </c>
      <c r="H282" s="163">
        <v>700</v>
      </c>
      <c r="I282" s="113">
        <f t="shared" si="7"/>
        <v>0</v>
      </c>
      <c r="J282" s="19" t="s">
        <v>407</v>
      </c>
    </row>
    <row r="283" spans="1:10" ht="12">
      <c r="A283" t="s">
        <v>208</v>
      </c>
      <c r="B283" t="s">
        <v>79</v>
      </c>
      <c r="D283" s="149">
        <v>1300</v>
      </c>
      <c r="E283" s="80">
        <v>1300</v>
      </c>
      <c r="F283" s="106">
        <v>1300</v>
      </c>
      <c r="G283" s="80">
        <v>1300</v>
      </c>
      <c r="H283" s="163">
        <v>1300</v>
      </c>
      <c r="I283" s="113">
        <f t="shared" si="7"/>
        <v>0</v>
      </c>
      <c r="J283" s="19" t="s">
        <v>407</v>
      </c>
    </row>
    <row r="284" spans="1:10" ht="12">
      <c r="A284" t="s">
        <v>209</v>
      </c>
      <c r="B284" t="s">
        <v>210</v>
      </c>
      <c r="D284" s="149">
        <v>3000</v>
      </c>
      <c r="E284" s="80">
        <v>3000</v>
      </c>
      <c r="F284" s="106">
        <v>3000</v>
      </c>
      <c r="G284" s="80">
        <v>3000</v>
      </c>
      <c r="H284" s="163">
        <v>3000</v>
      </c>
      <c r="I284" s="113">
        <f t="shared" si="7"/>
        <v>0</v>
      </c>
      <c r="J284" s="19" t="s">
        <v>407</v>
      </c>
    </row>
    <row r="285" spans="1:10" ht="12">
      <c r="A285" t="s">
        <v>211</v>
      </c>
      <c r="B285" t="s">
        <v>59</v>
      </c>
      <c r="D285" s="149">
        <v>1100</v>
      </c>
      <c r="E285" s="80">
        <v>1100</v>
      </c>
      <c r="F285" s="106">
        <v>1100</v>
      </c>
      <c r="G285" s="80">
        <v>1100</v>
      </c>
      <c r="H285" s="163">
        <v>1100</v>
      </c>
      <c r="I285" s="113">
        <f t="shared" si="7"/>
        <v>0</v>
      </c>
      <c r="J285" s="19" t="s">
        <v>407</v>
      </c>
    </row>
    <row r="286" spans="1:10" ht="12">
      <c r="A286" t="s">
        <v>212</v>
      </c>
      <c r="B286" t="s">
        <v>116</v>
      </c>
      <c r="D286" s="149">
        <v>3000</v>
      </c>
      <c r="E286" s="80">
        <v>3000</v>
      </c>
      <c r="F286" s="106">
        <v>5000</v>
      </c>
      <c r="G286" s="80">
        <v>5000</v>
      </c>
      <c r="H286" s="163">
        <v>5000</v>
      </c>
      <c r="I286" s="39">
        <f t="shared" si="7"/>
        <v>0</v>
      </c>
      <c r="J286" s="19" t="s">
        <v>407</v>
      </c>
    </row>
    <row r="287" spans="1:10" ht="12">
      <c r="A287" t="s">
        <v>213</v>
      </c>
      <c r="B287" t="s">
        <v>214</v>
      </c>
      <c r="D287" s="149">
        <v>250</v>
      </c>
      <c r="E287" s="80">
        <v>250</v>
      </c>
      <c r="F287" s="106">
        <v>250</v>
      </c>
      <c r="G287" s="80">
        <v>250</v>
      </c>
      <c r="H287" s="163">
        <v>250</v>
      </c>
      <c r="I287" s="39">
        <f t="shared" si="7"/>
        <v>0</v>
      </c>
      <c r="J287" s="19" t="s">
        <v>407</v>
      </c>
    </row>
    <row r="288" spans="1:10" ht="13.5">
      <c r="A288" t="s">
        <v>215</v>
      </c>
      <c r="B288" t="s">
        <v>118</v>
      </c>
      <c r="D288" s="82">
        <v>3800</v>
      </c>
      <c r="E288" s="82">
        <v>8546</v>
      </c>
      <c r="F288" s="108">
        <f>3800+7005-2259-6110+4310</f>
        <v>6746</v>
      </c>
      <c r="G288" s="82">
        <f>3800+7005-2259-6110+4310+22</f>
        <v>6768</v>
      </c>
      <c r="H288" s="182">
        <f>3800+7005-2259-6110+4310+22</f>
        <v>6768</v>
      </c>
      <c r="I288" s="183">
        <f t="shared" si="7"/>
        <v>0</v>
      </c>
      <c r="J288" s="19" t="s">
        <v>407</v>
      </c>
    </row>
    <row r="289" spans="4:10" ht="12">
      <c r="D289" s="5">
        <f>SUM(D262:D288)</f>
        <v>121262.97000000002</v>
      </c>
      <c r="E289" s="5">
        <f>SUM(E262:E288)</f>
        <v>119175.18000000001</v>
      </c>
      <c r="F289" s="5">
        <f>SUM(F262:F288)</f>
        <v>119175.23</v>
      </c>
      <c r="G289" s="5">
        <f>SUM(G262:G288)</f>
        <v>119174.9</v>
      </c>
      <c r="H289" s="111">
        <f>SUM(H262:H288)</f>
        <v>119174.9</v>
      </c>
      <c r="I289" s="113">
        <f t="shared" si="7"/>
        <v>0</v>
      </c>
      <c r="J289" s="19" t="s">
        <v>407</v>
      </c>
    </row>
    <row r="290" spans="3:9" s="3" customFormat="1" ht="9.75">
      <c r="C290" s="18"/>
      <c r="D290" s="43"/>
      <c r="E290" s="43"/>
      <c r="F290" s="43"/>
      <c r="G290" s="43"/>
      <c r="H290" s="77"/>
      <c r="I290" s="44"/>
    </row>
    <row r="291" spans="1:9" ht="12">
      <c r="A291" t="s">
        <v>216</v>
      </c>
      <c r="B291" t="s">
        <v>217</v>
      </c>
      <c r="D291" s="5"/>
      <c r="E291" s="5"/>
      <c r="F291" s="5"/>
      <c r="G291" s="5"/>
      <c r="H291" s="111"/>
      <c r="I291" s="115"/>
    </row>
    <row r="292" spans="3:9" s="3" customFormat="1" ht="9.75">
      <c r="C292" s="18"/>
      <c r="D292" s="43"/>
      <c r="E292" s="43"/>
      <c r="F292" s="43"/>
      <c r="G292" s="43"/>
      <c r="H292" s="77"/>
      <c r="I292" s="44"/>
    </row>
    <row r="293" spans="1:10" ht="12">
      <c r="A293" t="s">
        <v>218</v>
      </c>
      <c r="B293" t="s">
        <v>106</v>
      </c>
      <c r="D293" s="7">
        <v>2000</v>
      </c>
      <c r="E293" s="7">
        <v>2000</v>
      </c>
      <c r="F293" s="7">
        <v>2000</v>
      </c>
      <c r="G293" s="7">
        <v>2000</v>
      </c>
      <c r="H293" s="110">
        <v>2000</v>
      </c>
      <c r="I293" s="113">
        <f>H293-G293</f>
        <v>0</v>
      </c>
      <c r="J293" s="19" t="s">
        <v>407</v>
      </c>
    </row>
    <row r="294" spans="1:10" ht="13.5">
      <c r="A294" t="s">
        <v>219</v>
      </c>
      <c r="B294" t="s">
        <v>220</v>
      </c>
      <c r="D294" s="41">
        <v>400</v>
      </c>
      <c r="E294" s="41">
        <v>400</v>
      </c>
      <c r="F294" s="41">
        <v>400</v>
      </c>
      <c r="G294" s="41">
        <v>400</v>
      </c>
      <c r="H294" s="61">
        <v>400</v>
      </c>
      <c r="I294" s="40">
        <f>H294-G294</f>
        <v>0</v>
      </c>
      <c r="J294" s="19" t="s">
        <v>407</v>
      </c>
    </row>
    <row r="295" spans="4:10" ht="12">
      <c r="D295" s="5">
        <f>SUM(D293:D294)</f>
        <v>2400</v>
      </c>
      <c r="E295" s="5">
        <f>SUM(E293:E294)</f>
        <v>2400</v>
      </c>
      <c r="F295" s="5">
        <f>SUM(F293:F294)</f>
        <v>2400</v>
      </c>
      <c r="G295" s="5">
        <f>SUM(G293:G294)</f>
        <v>2400</v>
      </c>
      <c r="H295" s="111">
        <f>SUM(H293:H294)</f>
        <v>2400</v>
      </c>
      <c r="I295" s="113">
        <f>H295-G295</f>
        <v>0</v>
      </c>
      <c r="J295" s="19" t="s">
        <v>407</v>
      </c>
    </row>
    <row r="296" spans="3:9" s="3" customFormat="1" ht="9.75">
      <c r="C296" s="18"/>
      <c r="D296" s="43"/>
      <c r="E296" s="43"/>
      <c r="F296" s="43"/>
      <c r="G296" s="43"/>
      <c r="H296" s="77"/>
      <c r="I296" s="44"/>
    </row>
    <row r="297" spans="1:9" ht="12">
      <c r="A297" t="s">
        <v>221</v>
      </c>
      <c r="B297" t="s">
        <v>222</v>
      </c>
      <c r="D297" s="5"/>
      <c r="E297" s="5"/>
      <c r="F297" s="5"/>
      <c r="G297" s="5"/>
      <c r="H297" s="111"/>
      <c r="I297" s="115"/>
    </row>
    <row r="298" spans="3:9" s="3" customFormat="1" ht="9.75">
      <c r="C298" s="18"/>
      <c r="D298" s="43"/>
      <c r="E298" s="43"/>
      <c r="F298" s="43"/>
      <c r="G298" s="43"/>
      <c r="H298" s="77"/>
      <c r="I298" s="44"/>
    </row>
    <row r="299" spans="1:10" ht="13.5">
      <c r="A299" t="s">
        <v>223</v>
      </c>
      <c r="B299" t="s">
        <v>106</v>
      </c>
      <c r="D299" s="41">
        <v>25000</v>
      </c>
      <c r="E299" s="41">
        <v>25000</v>
      </c>
      <c r="F299" s="82">
        <v>25000</v>
      </c>
      <c r="G299" s="41">
        <v>25000</v>
      </c>
      <c r="H299" s="61">
        <v>25000</v>
      </c>
      <c r="I299" s="89">
        <f>H299-G299</f>
        <v>0</v>
      </c>
      <c r="J299" s="19" t="s">
        <v>407</v>
      </c>
    </row>
    <row r="300" spans="4:10" ht="12">
      <c r="D300" s="5">
        <f>D299</f>
        <v>25000</v>
      </c>
      <c r="E300" s="5">
        <f>E299</f>
        <v>25000</v>
      </c>
      <c r="F300" s="5">
        <f>F299</f>
        <v>25000</v>
      </c>
      <c r="G300" s="5">
        <f>G299</f>
        <v>25000</v>
      </c>
      <c r="H300" s="111">
        <f>H299</f>
        <v>25000</v>
      </c>
      <c r="I300" s="113">
        <f>H300-G300</f>
        <v>0</v>
      </c>
      <c r="J300" s="19" t="s">
        <v>407</v>
      </c>
    </row>
    <row r="301" spans="3:9" s="3" customFormat="1" ht="9.75">
      <c r="C301" s="18"/>
      <c r="D301" s="43"/>
      <c r="E301" s="43"/>
      <c r="F301" s="43"/>
      <c r="G301" s="43"/>
      <c r="H301" s="77"/>
      <c r="I301" s="44"/>
    </row>
    <row r="302" spans="2:10" ht="12.75" thickBot="1">
      <c r="B302" t="s">
        <v>224</v>
      </c>
      <c r="D302" s="5">
        <f>D289+D295+D300</f>
        <v>148662.97000000003</v>
      </c>
      <c r="E302" s="5">
        <f>E289+E295+E300</f>
        <v>146575.18</v>
      </c>
      <c r="F302" s="5">
        <f>F289+F295+F300</f>
        <v>146575.22999999998</v>
      </c>
      <c r="G302" s="5">
        <f>G289+G295+G300</f>
        <v>146574.9</v>
      </c>
      <c r="H302" s="116">
        <f>H289+H295+H300</f>
        <v>146574.9</v>
      </c>
      <c r="I302" s="113">
        <f>H302-G302</f>
        <v>0</v>
      </c>
      <c r="J302" s="19" t="s">
        <v>407</v>
      </c>
    </row>
    <row r="303" spans="1:10" ht="12">
      <c r="A303" s="23"/>
      <c r="B303" s="23"/>
      <c r="C303" s="23"/>
      <c r="D303" s="23"/>
      <c r="E303" s="23"/>
      <c r="F303" s="23"/>
      <c r="G303" s="23"/>
      <c r="H303" s="120"/>
      <c r="I303" s="114"/>
      <c r="J303">
        <v>8</v>
      </c>
    </row>
    <row r="304" spans="2:10" ht="18">
      <c r="B304" s="52" t="s">
        <v>340</v>
      </c>
      <c r="C304" s="49"/>
      <c r="D304" s="49"/>
      <c r="E304" s="49"/>
      <c r="F304" s="49"/>
      <c r="G304" s="49"/>
      <c r="H304" s="121"/>
      <c r="I304" s="121"/>
      <c r="J304" s="49"/>
    </row>
    <row r="305" spans="8:9" ht="12">
      <c r="H305" s="122"/>
      <c r="I305" s="114"/>
    </row>
    <row r="306" spans="4:10" ht="13.5" thickBot="1">
      <c r="D306" s="8"/>
      <c r="E306" s="8"/>
      <c r="F306" s="33"/>
      <c r="G306" s="8"/>
      <c r="H306" s="123"/>
      <c r="I306" s="86" t="s">
        <v>451</v>
      </c>
      <c r="J306" s="21"/>
    </row>
    <row r="307" spans="1:10" ht="13.5">
      <c r="A307" t="s">
        <v>225</v>
      </c>
      <c r="B307" t="s">
        <v>226</v>
      </c>
      <c r="D307" s="79" t="s">
        <v>477</v>
      </c>
      <c r="E307" s="79" t="s">
        <v>484</v>
      </c>
      <c r="F307" s="156" t="s">
        <v>489</v>
      </c>
      <c r="G307" s="79" t="s">
        <v>506</v>
      </c>
      <c r="H307" s="56" t="s">
        <v>514</v>
      </c>
      <c r="I307" s="37" t="s">
        <v>505</v>
      </c>
      <c r="J307" s="105" t="s">
        <v>478</v>
      </c>
    </row>
    <row r="308" spans="4:9" ht="12">
      <c r="D308" s="94"/>
      <c r="E308" s="148"/>
      <c r="F308" s="158"/>
      <c r="G308" s="148"/>
      <c r="H308" s="124"/>
      <c r="I308" s="114"/>
    </row>
    <row r="309" spans="1:10" ht="12">
      <c r="A309" t="s">
        <v>227</v>
      </c>
      <c r="B309" t="s">
        <v>450</v>
      </c>
      <c r="C309" s="30"/>
      <c r="D309" s="149">
        <v>9280</v>
      </c>
      <c r="E309" s="149">
        <v>9280</v>
      </c>
      <c r="F309" s="109">
        <v>10080</v>
      </c>
      <c r="G309" s="149">
        <v>11600</v>
      </c>
      <c r="H309" s="178">
        <v>11600</v>
      </c>
      <c r="I309" s="161">
        <f aca="true" t="shared" si="8" ref="I309:I317">H309-G309</f>
        <v>0</v>
      </c>
      <c r="J309" s="19" t="s">
        <v>407</v>
      </c>
    </row>
    <row r="310" spans="1:10" ht="12">
      <c r="A310" t="s">
        <v>228</v>
      </c>
      <c r="B310" t="s">
        <v>49</v>
      </c>
      <c r="D310" s="149">
        <f>ROUND(D309*0.0765,0)</f>
        <v>710</v>
      </c>
      <c r="E310" s="149">
        <f>ROUND(E309*0.0765,0)</f>
        <v>710</v>
      </c>
      <c r="F310" s="109">
        <f>ROUND(F309*0.0765,0)</f>
        <v>771</v>
      </c>
      <c r="G310" s="149">
        <f>ROUND(G309*0.0765,0)</f>
        <v>887</v>
      </c>
      <c r="H310" s="178">
        <f>ROUND(H309*0.0765,0)</f>
        <v>887</v>
      </c>
      <c r="I310" s="161">
        <f t="shared" si="8"/>
        <v>0</v>
      </c>
      <c r="J310" s="19" t="s">
        <v>407</v>
      </c>
    </row>
    <row r="311" spans="1:10" ht="12">
      <c r="A311" t="s">
        <v>229</v>
      </c>
      <c r="B311" t="s">
        <v>162</v>
      </c>
      <c r="D311" s="149">
        <f>ROUND(D309*0.0695,0)</f>
        <v>645</v>
      </c>
      <c r="E311" s="149">
        <v>455</v>
      </c>
      <c r="F311" s="106">
        <f>ROUND(F309*0.0285,0)</f>
        <v>287</v>
      </c>
      <c r="G311" s="149">
        <f>ROUND(G309*0.0285,0)</f>
        <v>331</v>
      </c>
      <c r="H311" s="178">
        <f>ROUND(H309*0.0285,0)</f>
        <v>331</v>
      </c>
      <c r="I311" s="161">
        <f t="shared" si="8"/>
        <v>0</v>
      </c>
      <c r="J311" s="19" t="s">
        <v>407</v>
      </c>
    </row>
    <row r="312" spans="1:10" ht="12">
      <c r="A312" t="s">
        <v>230</v>
      </c>
      <c r="B312" t="s">
        <v>53</v>
      </c>
      <c r="D312" s="149">
        <v>290</v>
      </c>
      <c r="E312" s="149">
        <v>290</v>
      </c>
      <c r="F312" s="109">
        <v>290</v>
      </c>
      <c r="G312" s="149">
        <f>290-34</f>
        <v>256</v>
      </c>
      <c r="H312" s="178">
        <f>290-34</f>
        <v>256</v>
      </c>
      <c r="I312" s="161">
        <f t="shared" si="8"/>
        <v>0</v>
      </c>
      <c r="J312" s="19" t="s">
        <v>407</v>
      </c>
    </row>
    <row r="313" spans="1:10" ht="12">
      <c r="A313" t="s">
        <v>231</v>
      </c>
      <c r="B313" t="s">
        <v>232</v>
      </c>
      <c r="D313" s="149">
        <v>3140</v>
      </c>
      <c r="E313" s="149">
        <v>3140</v>
      </c>
      <c r="F313" s="109">
        <v>3056</v>
      </c>
      <c r="G313" s="149">
        <f>4140-85-540</f>
        <v>3515</v>
      </c>
      <c r="H313" s="178">
        <f>4140-85-540</f>
        <v>3515</v>
      </c>
      <c r="I313" s="161">
        <f t="shared" si="8"/>
        <v>0</v>
      </c>
      <c r="J313" s="19" t="s">
        <v>407</v>
      </c>
    </row>
    <row r="314" spans="1:10" ht="12">
      <c r="A314" t="s">
        <v>233</v>
      </c>
      <c r="B314" t="s">
        <v>234</v>
      </c>
      <c r="D314" s="149">
        <v>6000</v>
      </c>
      <c r="E314" s="149">
        <v>6000</v>
      </c>
      <c r="F314" s="109">
        <v>6000</v>
      </c>
      <c r="G314" s="149">
        <v>6000</v>
      </c>
      <c r="H314" s="110">
        <v>6000</v>
      </c>
      <c r="I314" s="113">
        <f t="shared" si="8"/>
        <v>0</v>
      </c>
      <c r="J314" s="19" t="s">
        <v>407</v>
      </c>
    </row>
    <row r="315" spans="1:10" ht="12">
      <c r="A315" t="s">
        <v>235</v>
      </c>
      <c r="B315" t="s">
        <v>236</v>
      </c>
      <c r="D315" s="149">
        <f>9000-1200</f>
        <v>7800</v>
      </c>
      <c r="E315" s="149">
        <f>9000-1200</f>
        <v>7800</v>
      </c>
      <c r="F315" s="106">
        <v>7000</v>
      </c>
      <c r="G315" s="149">
        <v>7000</v>
      </c>
      <c r="H315" s="163">
        <v>7000</v>
      </c>
      <c r="I315" s="39">
        <f t="shared" si="8"/>
        <v>0</v>
      </c>
      <c r="J315" s="19" t="s">
        <v>407</v>
      </c>
    </row>
    <row r="316" spans="1:10" ht="13.5">
      <c r="A316" t="s">
        <v>300</v>
      </c>
      <c r="B316" t="s">
        <v>301</v>
      </c>
      <c r="D316" s="82">
        <v>1000</v>
      </c>
      <c r="E316" s="82">
        <v>1000</v>
      </c>
      <c r="F316" s="108">
        <v>1000</v>
      </c>
      <c r="G316" s="82">
        <v>1000</v>
      </c>
      <c r="H316" s="61">
        <v>1000</v>
      </c>
      <c r="I316" s="40">
        <f t="shared" si="8"/>
        <v>0</v>
      </c>
      <c r="J316" s="19" t="s">
        <v>407</v>
      </c>
    </row>
    <row r="317" spans="2:10" ht="12.75" thickBot="1">
      <c r="B317" t="s">
        <v>336</v>
      </c>
      <c r="D317" s="5">
        <f>SUM(D309:D316)</f>
        <v>28865</v>
      </c>
      <c r="E317" s="5">
        <f>SUM(E309:E316)</f>
        <v>28675</v>
      </c>
      <c r="F317" s="62">
        <f>SUM(F309:F316)</f>
        <v>28484</v>
      </c>
      <c r="G317" s="5">
        <f>SUM(G309:G316)</f>
        <v>30589</v>
      </c>
      <c r="H317" s="185">
        <f>SUM(H309:H316)</f>
        <v>30589</v>
      </c>
      <c r="I317" s="161">
        <f t="shared" si="8"/>
        <v>0</v>
      </c>
      <c r="J317" s="19" t="s">
        <v>407</v>
      </c>
    </row>
    <row r="318" spans="4:10" ht="12">
      <c r="D318" s="5"/>
      <c r="E318" s="5"/>
      <c r="F318" s="5"/>
      <c r="G318" s="5"/>
      <c r="H318" s="117"/>
      <c r="I318" s="113"/>
      <c r="J318" s="19"/>
    </row>
    <row r="319" spans="4:10" ht="12">
      <c r="D319" s="5"/>
      <c r="E319" s="5"/>
      <c r="F319" s="5"/>
      <c r="G319" s="5"/>
      <c r="H319" s="117"/>
      <c r="I319" s="113"/>
      <c r="J319" s="19"/>
    </row>
    <row r="320" spans="4:10" ht="12">
      <c r="D320" s="5"/>
      <c r="E320" s="5"/>
      <c r="F320" s="5"/>
      <c r="G320" s="5"/>
      <c r="H320" s="118"/>
      <c r="I320" s="119"/>
      <c r="J320" s="19"/>
    </row>
    <row r="321" spans="8:9" ht="12">
      <c r="H321" s="118"/>
      <c r="I321" s="119"/>
    </row>
    <row r="322" spans="1:10" ht="12">
      <c r="A322" s="23"/>
      <c r="B322" s="23"/>
      <c r="C322" s="23"/>
      <c r="D322" s="23"/>
      <c r="E322" s="23"/>
      <c r="F322" s="23"/>
      <c r="G322" s="23"/>
      <c r="H322" s="120"/>
      <c r="I322" s="114"/>
      <c r="J322">
        <v>9</v>
      </c>
    </row>
    <row r="323" spans="2:10" ht="18">
      <c r="B323" s="52" t="s">
        <v>340</v>
      </c>
      <c r="C323" s="49"/>
      <c r="D323" s="49"/>
      <c r="E323" s="49"/>
      <c r="F323" s="49"/>
      <c r="G323" s="49"/>
      <c r="H323" s="121"/>
      <c r="I323" s="121"/>
      <c r="J323" s="49"/>
    </row>
    <row r="324" spans="8:9" ht="12">
      <c r="H324" s="122"/>
      <c r="I324" s="114"/>
    </row>
    <row r="325" spans="4:10" ht="13.5" thickBot="1">
      <c r="D325" s="8"/>
      <c r="E325" s="8"/>
      <c r="F325" s="33"/>
      <c r="G325" s="8"/>
      <c r="H325" s="123"/>
      <c r="I325" s="86" t="s">
        <v>451</v>
      </c>
      <c r="J325" s="21"/>
    </row>
    <row r="326" spans="1:10" ht="13.5">
      <c r="A326" t="s">
        <v>237</v>
      </c>
      <c r="B326" t="s">
        <v>238</v>
      </c>
      <c r="D326" s="79" t="s">
        <v>477</v>
      </c>
      <c r="E326" s="79" t="s">
        <v>484</v>
      </c>
      <c r="F326" s="156" t="s">
        <v>489</v>
      </c>
      <c r="G326" s="79" t="s">
        <v>506</v>
      </c>
      <c r="H326" s="56" t="s">
        <v>514</v>
      </c>
      <c r="I326" s="37" t="s">
        <v>505</v>
      </c>
      <c r="J326" s="105" t="s">
        <v>478</v>
      </c>
    </row>
    <row r="327" spans="3:10" s="34" customFormat="1" ht="12">
      <c r="C327" s="35"/>
      <c r="D327" s="97"/>
      <c r="E327" s="176"/>
      <c r="F327" s="160"/>
      <c r="G327" s="176"/>
      <c r="H327" s="130"/>
      <c r="I327" s="131"/>
      <c r="J327" s="36"/>
    </row>
    <row r="328" spans="1:10" ht="12">
      <c r="A328" t="s">
        <v>239</v>
      </c>
      <c r="B328" t="s">
        <v>436</v>
      </c>
      <c r="D328" s="149">
        <v>3729</v>
      </c>
      <c r="E328" s="149">
        <v>3729</v>
      </c>
      <c r="F328" s="109">
        <v>3729</v>
      </c>
      <c r="G328" s="149">
        <v>3729</v>
      </c>
      <c r="H328" s="110">
        <v>3729</v>
      </c>
      <c r="I328" s="113">
        <f aca="true" t="shared" si="9" ref="I328:I338">H328-G328</f>
        <v>0</v>
      </c>
      <c r="J328" s="19" t="s">
        <v>407</v>
      </c>
    </row>
    <row r="329" spans="1:10" ht="12">
      <c r="A329" t="s">
        <v>240</v>
      </c>
      <c r="B329" t="s">
        <v>437</v>
      </c>
      <c r="D329" s="149">
        <v>1163</v>
      </c>
      <c r="E329" s="149">
        <v>1163</v>
      </c>
      <c r="F329" s="109">
        <v>1163</v>
      </c>
      <c r="G329" s="149">
        <v>1163</v>
      </c>
      <c r="H329" s="110">
        <v>1163</v>
      </c>
      <c r="I329" s="113">
        <f t="shared" si="9"/>
        <v>0</v>
      </c>
      <c r="J329" s="19" t="s">
        <v>407</v>
      </c>
    </row>
    <row r="330" spans="1:10" ht="12">
      <c r="A330" t="s">
        <v>241</v>
      </c>
      <c r="B330" t="s">
        <v>242</v>
      </c>
      <c r="D330" s="149">
        <v>2000</v>
      </c>
      <c r="E330" s="149">
        <v>2000</v>
      </c>
      <c r="F330" s="106">
        <v>2356</v>
      </c>
      <c r="G330" s="149">
        <v>2452</v>
      </c>
      <c r="H330" s="178">
        <v>2452</v>
      </c>
      <c r="I330" s="161">
        <f t="shared" si="9"/>
        <v>0</v>
      </c>
      <c r="J330" s="19" t="s">
        <v>407</v>
      </c>
    </row>
    <row r="331" spans="1:10" ht="12">
      <c r="A331" t="s">
        <v>243</v>
      </c>
      <c r="B331" t="s">
        <v>244</v>
      </c>
      <c r="D331" s="149">
        <v>2010</v>
      </c>
      <c r="E331" s="149">
        <v>2010</v>
      </c>
      <c r="F331" s="106">
        <v>2277</v>
      </c>
      <c r="G331" s="149">
        <v>1996</v>
      </c>
      <c r="H331" s="178">
        <v>1996</v>
      </c>
      <c r="I331" s="161">
        <f t="shared" si="9"/>
        <v>0</v>
      </c>
      <c r="J331" s="19" t="s">
        <v>407</v>
      </c>
    </row>
    <row r="332" spans="1:10" ht="12">
      <c r="A332" t="s">
        <v>245</v>
      </c>
      <c r="B332" t="s">
        <v>246</v>
      </c>
      <c r="D332" s="149">
        <v>4000</v>
      </c>
      <c r="E332" s="149">
        <v>4000</v>
      </c>
      <c r="F332" s="106">
        <v>4208</v>
      </c>
      <c r="G332" s="149">
        <v>4208</v>
      </c>
      <c r="H332" s="163">
        <v>4208</v>
      </c>
      <c r="I332" s="39">
        <f t="shared" si="9"/>
        <v>0</v>
      </c>
      <c r="J332" s="19" t="s">
        <v>407</v>
      </c>
    </row>
    <row r="333" spans="1:10" ht="12">
      <c r="A333" t="s">
        <v>247</v>
      </c>
      <c r="B333" t="s">
        <v>438</v>
      </c>
      <c r="C333" s="30"/>
      <c r="D333" s="149">
        <v>19993</v>
      </c>
      <c r="E333" s="149">
        <v>19993</v>
      </c>
      <c r="F333" s="106">
        <v>29498</v>
      </c>
      <c r="G333" s="149">
        <v>29663</v>
      </c>
      <c r="H333" s="178">
        <v>29663</v>
      </c>
      <c r="I333" s="161">
        <f t="shared" si="9"/>
        <v>0</v>
      </c>
      <c r="J333" s="19" t="s">
        <v>407</v>
      </c>
    </row>
    <row r="334" spans="1:10" ht="12">
      <c r="A334" t="s">
        <v>248</v>
      </c>
      <c r="B334" t="s">
        <v>292</v>
      </c>
      <c r="D334" s="149">
        <f>11503-1646</f>
        <v>9857</v>
      </c>
      <c r="E334" s="149">
        <f>11503-1646</f>
        <v>9857</v>
      </c>
      <c r="F334" s="106">
        <f>4499-1646</f>
        <v>2853</v>
      </c>
      <c r="G334" s="149">
        <f>5267-844</f>
        <v>4423</v>
      </c>
      <c r="H334" s="178">
        <f>5267-844</f>
        <v>4423</v>
      </c>
      <c r="I334" s="161">
        <f t="shared" si="9"/>
        <v>0</v>
      </c>
      <c r="J334" s="19" t="s">
        <v>407</v>
      </c>
    </row>
    <row r="335" spans="1:10" ht="12">
      <c r="A335" t="s">
        <v>249</v>
      </c>
      <c r="B335" t="s">
        <v>439</v>
      </c>
      <c r="D335" s="149">
        <v>8000</v>
      </c>
      <c r="E335" s="149">
        <v>8000</v>
      </c>
      <c r="F335" s="106">
        <v>8466</v>
      </c>
      <c r="G335" s="149">
        <v>8885</v>
      </c>
      <c r="H335" s="178">
        <v>8885</v>
      </c>
      <c r="I335" s="161">
        <f t="shared" si="9"/>
        <v>0</v>
      </c>
      <c r="J335" s="19" t="s">
        <v>407</v>
      </c>
    </row>
    <row r="336" spans="1:10" ht="12">
      <c r="A336" t="s">
        <v>250</v>
      </c>
      <c r="B336" s="4" t="s">
        <v>502</v>
      </c>
      <c r="D336" s="149">
        <v>80</v>
      </c>
      <c r="E336" s="149">
        <v>80</v>
      </c>
      <c r="F336" s="109">
        <v>80</v>
      </c>
      <c r="G336" s="149">
        <v>80</v>
      </c>
      <c r="H336" s="110">
        <v>80</v>
      </c>
      <c r="I336" s="113">
        <f t="shared" si="9"/>
        <v>0</v>
      </c>
      <c r="J336" s="19" t="s">
        <v>407</v>
      </c>
    </row>
    <row r="337" spans="1:10" ht="13.5">
      <c r="A337" t="s">
        <v>251</v>
      </c>
      <c r="B337" t="s">
        <v>347</v>
      </c>
      <c r="D337" s="82">
        <v>200</v>
      </c>
      <c r="E337" s="82">
        <v>200</v>
      </c>
      <c r="F337" s="108">
        <v>200</v>
      </c>
      <c r="G337" s="82">
        <v>200</v>
      </c>
      <c r="H337" s="61">
        <v>200</v>
      </c>
      <c r="I337" s="40">
        <f t="shared" si="9"/>
        <v>0</v>
      </c>
      <c r="J337" s="19" t="s">
        <v>407</v>
      </c>
    </row>
    <row r="338" spans="2:10" ht="12">
      <c r="B338" t="s">
        <v>337</v>
      </c>
      <c r="D338" s="5">
        <f>SUM(D328:D337)</f>
        <v>51032</v>
      </c>
      <c r="E338" s="5">
        <f>SUM(E328:E337)</f>
        <v>51032</v>
      </c>
      <c r="F338" s="62">
        <f>SUM(F328:F337)</f>
        <v>54830</v>
      </c>
      <c r="G338" s="5">
        <f>SUM(G328:G337)</f>
        <v>56799</v>
      </c>
      <c r="H338" s="180">
        <f>SUM(H328:H337)</f>
        <v>56799</v>
      </c>
      <c r="I338" s="161">
        <f t="shared" si="9"/>
        <v>0</v>
      </c>
      <c r="J338" s="19" t="s">
        <v>407</v>
      </c>
    </row>
    <row r="339" spans="8:9" ht="12">
      <c r="H339" s="124"/>
      <c r="I339" s="114"/>
    </row>
    <row r="340" spans="8:9" ht="12">
      <c r="H340" s="124"/>
      <c r="I340" s="114"/>
    </row>
    <row r="341" spans="8:9" ht="12">
      <c r="H341" s="124"/>
      <c r="I341" s="114"/>
    </row>
    <row r="342" spans="1:10" ht="12">
      <c r="A342" s="16" t="s">
        <v>326</v>
      </c>
      <c r="B342" t="s">
        <v>433</v>
      </c>
      <c r="D342" s="83">
        <v>7988</v>
      </c>
      <c r="E342" s="117">
        <v>6975</v>
      </c>
      <c r="F342" s="167">
        <f>6975-1545</f>
        <v>5430</v>
      </c>
      <c r="G342" s="117">
        <f>6975-1545-710</f>
        <v>4720</v>
      </c>
      <c r="H342" s="165">
        <f>6975-1545-710</f>
        <v>4720</v>
      </c>
      <c r="I342" s="39">
        <f>H342-G342</f>
        <v>0</v>
      </c>
      <c r="J342" s="19" t="s">
        <v>407</v>
      </c>
    </row>
    <row r="343" spans="4:9" ht="12">
      <c r="D343" s="5"/>
      <c r="E343" s="5"/>
      <c r="F343" s="5"/>
      <c r="G343" s="5"/>
      <c r="H343" s="111"/>
      <c r="I343" s="115"/>
    </row>
    <row r="344" spans="4:9" ht="12">
      <c r="D344" s="5"/>
      <c r="E344" s="5"/>
      <c r="F344" s="5"/>
      <c r="G344" s="5"/>
      <c r="H344" s="111"/>
      <c r="I344" s="115"/>
    </row>
    <row r="345" spans="4:9" ht="12">
      <c r="D345" s="5"/>
      <c r="E345" s="5"/>
      <c r="F345" s="5"/>
      <c r="G345" s="5"/>
      <c r="H345" s="111"/>
      <c r="I345" s="115"/>
    </row>
    <row r="346" spans="4:9" ht="12">
      <c r="D346" s="5"/>
      <c r="E346" s="5"/>
      <c r="F346" s="5"/>
      <c r="G346" s="5"/>
      <c r="H346" s="111"/>
      <c r="I346" s="115"/>
    </row>
    <row r="347" spans="2:10" s="24" customFormat="1" ht="12">
      <c r="B347" s="24" t="s">
        <v>252</v>
      </c>
      <c r="C347" s="25"/>
      <c r="D347" s="46">
        <f>D71</f>
        <v>734317</v>
      </c>
      <c r="E347" s="46">
        <f>E71</f>
        <v>739226</v>
      </c>
      <c r="F347" s="46">
        <f>F71</f>
        <v>751864</v>
      </c>
      <c r="G347" s="46">
        <f>G71</f>
        <v>763526</v>
      </c>
      <c r="H347" s="180">
        <f>H71</f>
        <v>763526</v>
      </c>
      <c r="I347" s="161">
        <f>H347-G347</f>
        <v>0</v>
      </c>
      <c r="J347" s="19" t="s">
        <v>407</v>
      </c>
    </row>
    <row r="348" spans="2:10" s="26" customFormat="1" ht="13.5">
      <c r="B348" s="24" t="s">
        <v>253</v>
      </c>
      <c r="C348" s="25"/>
      <c r="D348" s="45">
        <f>D124+D149+D195+D218+D232+D251+D302+D317+D338+D342</f>
        <v>734316.783</v>
      </c>
      <c r="E348" s="45">
        <f>E124+E149+E195+E218+E232+E251+E302+E317+E338+E342+E226</f>
        <v>739226.05</v>
      </c>
      <c r="F348" s="45">
        <f>F124+F149+F195+F218+F232+F251+F302+F317+F338+F342+F226</f>
        <v>751863.7309999999</v>
      </c>
      <c r="G348" s="45">
        <f>G124+G149+G195+G218+G232+G251+G302+G317+G338+G342+G226+1</f>
        <v>763526.4365</v>
      </c>
      <c r="H348" s="186">
        <f>H124+H149+H195+H218+H232+H251+H302+H317+H338+H342+H226+1</f>
        <v>763526.4365</v>
      </c>
      <c r="I348" s="183">
        <f>H348-G348-1</f>
        <v>-1</v>
      </c>
      <c r="J348" s="19" t="s">
        <v>407</v>
      </c>
    </row>
    <row r="349" spans="2:10" s="26" customFormat="1" ht="12.75" thickBot="1">
      <c r="B349" s="26" t="s">
        <v>254</v>
      </c>
      <c r="C349" s="27"/>
      <c r="D349" s="47">
        <f>D347-D348</f>
        <v>0.2169999999459833</v>
      </c>
      <c r="E349" s="47">
        <f>E347-E348</f>
        <v>-0.05000000004656613</v>
      </c>
      <c r="F349" s="47">
        <f>F347-F348</f>
        <v>0.2690000000875443</v>
      </c>
      <c r="G349" s="47">
        <f>G347-G348</f>
        <v>-0.43649999995250255</v>
      </c>
      <c r="H349" s="185">
        <f>H347-H348</f>
        <v>-0.43649999995250255</v>
      </c>
      <c r="I349" s="161">
        <f>H349-G349+1</f>
        <v>1</v>
      </c>
      <c r="J349" s="19" t="s">
        <v>407</v>
      </c>
    </row>
    <row r="350" spans="3:10" s="26" customFormat="1" ht="12">
      <c r="C350" s="27"/>
      <c r="D350" s="47"/>
      <c r="E350" s="47"/>
      <c r="F350" s="47"/>
      <c r="G350" s="47"/>
      <c r="H350" s="117"/>
      <c r="I350" s="113"/>
      <c r="J350" s="19"/>
    </row>
    <row r="351" spans="6:9" ht="12">
      <c r="F351" s="38"/>
      <c r="H351" s="132"/>
      <c r="I351" s="133"/>
    </row>
    <row r="352" spans="6:9" ht="12">
      <c r="F352" s="38"/>
      <c r="H352" s="134"/>
      <c r="I352" s="133"/>
    </row>
    <row r="353" spans="6:9" ht="12">
      <c r="F353" s="38"/>
      <c r="H353" s="134"/>
      <c r="I353" s="133"/>
    </row>
    <row r="354" spans="6:9" ht="12">
      <c r="F354" s="38"/>
      <c r="H354" s="118"/>
      <c r="I354" s="119"/>
    </row>
    <row r="355" spans="6:9" ht="12">
      <c r="F355" s="38"/>
      <c r="H355" s="118"/>
      <c r="I355" s="119"/>
    </row>
    <row r="356" spans="1:10" ht="12">
      <c r="A356" s="23"/>
      <c r="B356" s="23"/>
      <c r="C356" s="23"/>
      <c r="D356" s="23"/>
      <c r="E356" s="23"/>
      <c r="F356" s="32"/>
      <c r="G356" s="23"/>
      <c r="H356" s="135"/>
      <c r="I356" s="136"/>
      <c r="J356">
        <v>10</v>
      </c>
    </row>
    <row r="357" spans="2:10" ht="18">
      <c r="B357" s="52" t="s">
        <v>341</v>
      </c>
      <c r="C357" s="49"/>
      <c r="D357" s="49"/>
      <c r="E357" s="49"/>
      <c r="F357" s="49"/>
      <c r="G357" s="49"/>
      <c r="H357" s="129"/>
      <c r="I357" s="121"/>
      <c r="J357" s="49"/>
    </row>
    <row r="358" spans="8:9" ht="12">
      <c r="H358" s="128"/>
      <c r="I358" s="114"/>
    </row>
    <row r="359" spans="4:10" ht="13.5" thickBot="1">
      <c r="D359" s="8"/>
      <c r="E359" s="8"/>
      <c r="F359" s="33"/>
      <c r="G359" s="8"/>
      <c r="H359" s="137"/>
      <c r="I359" s="86" t="s">
        <v>451</v>
      </c>
      <c r="J359" s="21"/>
    </row>
    <row r="360" spans="1:10" ht="13.5">
      <c r="A360" t="s">
        <v>255</v>
      </c>
      <c r="D360" s="79" t="s">
        <v>477</v>
      </c>
      <c r="E360" s="79" t="s">
        <v>484</v>
      </c>
      <c r="F360" s="156" t="s">
        <v>489</v>
      </c>
      <c r="G360" s="79" t="s">
        <v>506</v>
      </c>
      <c r="H360" s="56" t="s">
        <v>514</v>
      </c>
      <c r="I360" s="37" t="s">
        <v>505</v>
      </c>
      <c r="J360" s="105" t="s">
        <v>478</v>
      </c>
    </row>
    <row r="361" spans="4:9" ht="12">
      <c r="D361" s="96"/>
      <c r="E361" s="96"/>
      <c r="F361" s="159"/>
      <c r="G361" s="96"/>
      <c r="H361" s="126"/>
      <c r="I361" s="114"/>
    </row>
    <row r="362" spans="1:10" ht="12">
      <c r="A362" t="s">
        <v>0</v>
      </c>
      <c r="B362" t="s">
        <v>432</v>
      </c>
      <c r="D362" s="80">
        <v>21626</v>
      </c>
      <c r="E362" s="149">
        <v>21626</v>
      </c>
      <c r="F362" s="109">
        <v>21626</v>
      </c>
      <c r="G362" s="149">
        <v>21626</v>
      </c>
      <c r="H362" s="110">
        <v>21626</v>
      </c>
      <c r="I362" s="113">
        <f>H362-G362</f>
        <v>0</v>
      </c>
      <c r="J362" s="19" t="s">
        <v>407</v>
      </c>
    </row>
    <row r="363" spans="1:10" ht="12">
      <c r="A363" t="s">
        <v>1</v>
      </c>
      <c r="B363" t="s">
        <v>2</v>
      </c>
      <c r="D363" s="80">
        <f>231+987</f>
        <v>1218</v>
      </c>
      <c r="E363" s="149">
        <f>231+987</f>
        <v>1218</v>
      </c>
      <c r="F363" s="109">
        <f>231+987</f>
        <v>1218</v>
      </c>
      <c r="G363" s="149">
        <f>231+987</f>
        <v>1218</v>
      </c>
      <c r="H363" s="110">
        <f>231+987</f>
        <v>1218</v>
      </c>
      <c r="I363" s="113">
        <f>H363-G363</f>
        <v>0</v>
      </c>
      <c r="J363" s="19" t="s">
        <v>407</v>
      </c>
    </row>
    <row r="364" spans="1:10" ht="13.5">
      <c r="A364" t="s">
        <v>19</v>
      </c>
      <c r="B364" t="s">
        <v>20</v>
      </c>
      <c r="D364" s="82">
        <v>5</v>
      </c>
      <c r="E364" s="82">
        <v>5</v>
      </c>
      <c r="F364" s="108">
        <v>0</v>
      </c>
      <c r="G364" s="82">
        <v>0</v>
      </c>
      <c r="H364" s="61">
        <v>0</v>
      </c>
      <c r="I364" s="40">
        <f>H364-G364</f>
        <v>0</v>
      </c>
      <c r="J364" s="19" t="s">
        <v>407</v>
      </c>
    </row>
    <row r="365" spans="4:10" ht="12">
      <c r="D365" s="5">
        <f>SUM(D362:D364)</f>
        <v>22849</v>
      </c>
      <c r="E365" s="5">
        <f>SUM(E362:E364)</f>
        <v>22849</v>
      </c>
      <c r="F365" s="62">
        <f>SUM(F362:F364)</f>
        <v>22844</v>
      </c>
      <c r="G365" s="5">
        <f>SUM(G362:G364)</f>
        <v>22844</v>
      </c>
      <c r="H365" s="111">
        <f>SUM(H362:H364)</f>
        <v>22844</v>
      </c>
      <c r="I365" s="113">
        <f>H365-G365</f>
        <v>0</v>
      </c>
      <c r="J365" s="19" t="s">
        <v>407</v>
      </c>
    </row>
    <row r="366" spans="4:9" ht="12">
      <c r="D366" s="5"/>
      <c r="E366" s="5"/>
      <c r="F366" s="62"/>
      <c r="G366" s="5"/>
      <c r="H366" s="138"/>
      <c r="I366" s="115"/>
    </row>
    <row r="367" spans="1:9" ht="12">
      <c r="A367" t="s">
        <v>256</v>
      </c>
      <c r="D367" s="5"/>
      <c r="E367" s="5"/>
      <c r="F367" s="62"/>
      <c r="G367" s="5"/>
      <c r="H367" s="138"/>
      <c r="I367" s="115"/>
    </row>
    <row r="368" spans="4:9" ht="12">
      <c r="D368" s="5"/>
      <c r="E368" s="5"/>
      <c r="F368" s="62"/>
      <c r="G368" s="5"/>
      <c r="H368" s="138"/>
      <c r="I368" s="115"/>
    </row>
    <row r="369" spans="1:10" ht="12">
      <c r="A369" t="s">
        <v>258</v>
      </c>
      <c r="B369" t="s">
        <v>259</v>
      </c>
      <c r="D369" s="150">
        <v>8721</v>
      </c>
      <c r="E369" s="150">
        <v>8721</v>
      </c>
      <c r="F369" s="162">
        <f>8721+206+134</f>
        <v>9061</v>
      </c>
      <c r="G369" s="150">
        <v>9243</v>
      </c>
      <c r="H369" s="187">
        <v>9243</v>
      </c>
      <c r="I369" s="161">
        <f>H369-G369</f>
        <v>0</v>
      </c>
      <c r="J369" s="19" t="s">
        <v>407</v>
      </c>
    </row>
    <row r="370" spans="1:10" ht="12">
      <c r="A370" t="s">
        <v>260</v>
      </c>
      <c r="B370" t="s">
        <v>257</v>
      </c>
      <c r="D370" s="149">
        <v>2863</v>
      </c>
      <c r="E370" s="149">
        <v>2863</v>
      </c>
      <c r="F370" s="106">
        <v>2523</v>
      </c>
      <c r="G370" s="149">
        <v>2341</v>
      </c>
      <c r="H370" s="178">
        <v>2341</v>
      </c>
      <c r="I370" s="161">
        <f>H370-G370</f>
        <v>0</v>
      </c>
      <c r="J370" s="19" t="s">
        <v>407</v>
      </c>
    </row>
    <row r="371" spans="2:10" ht="13.5">
      <c r="B371" t="s">
        <v>327</v>
      </c>
      <c r="D371" s="85">
        <f>D365-D369-D370</f>
        <v>11265</v>
      </c>
      <c r="E371" s="85">
        <f>E365-E369-E370</f>
        <v>11265</v>
      </c>
      <c r="F371" s="146">
        <f>F365-F369-F370</f>
        <v>11260</v>
      </c>
      <c r="G371" s="85">
        <f>G365-G369-G370</f>
        <v>11260</v>
      </c>
      <c r="H371" s="78">
        <f>H365-H369-H370</f>
        <v>11260</v>
      </c>
      <c r="I371" s="40">
        <f>H371-G371</f>
        <v>0</v>
      </c>
      <c r="J371" s="19" t="s">
        <v>407</v>
      </c>
    </row>
    <row r="372" spans="4:10" ht="12.75" thickBot="1">
      <c r="D372" s="5">
        <f>SUM(D369:D371)</f>
        <v>22849</v>
      </c>
      <c r="E372" s="5">
        <f>SUM(E369:E371)</f>
        <v>22849</v>
      </c>
      <c r="F372" s="5">
        <f>SUM(F369:F371)</f>
        <v>22844</v>
      </c>
      <c r="G372" s="5">
        <f>SUM(G369:G371)</f>
        <v>22844</v>
      </c>
      <c r="H372" s="116">
        <f>SUM(H369:H371)</f>
        <v>22844</v>
      </c>
      <c r="I372" s="113">
        <f>H372-G372</f>
        <v>0</v>
      </c>
      <c r="J372" s="19" t="s">
        <v>407</v>
      </c>
    </row>
    <row r="373" spans="4:9" ht="12">
      <c r="D373" s="7"/>
      <c r="E373" s="7"/>
      <c r="F373" s="7"/>
      <c r="G373" s="7"/>
      <c r="H373" s="139"/>
      <c r="I373" s="114"/>
    </row>
    <row r="374" spans="4:9" ht="12">
      <c r="D374" s="7"/>
      <c r="E374" s="7"/>
      <c r="F374" s="7"/>
      <c r="G374" s="7"/>
      <c r="H374" s="139"/>
      <c r="I374" s="114"/>
    </row>
    <row r="375" spans="4:9" ht="12">
      <c r="D375" s="7"/>
      <c r="E375" s="7"/>
      <c r="F375" s="7"/>
      <c r="G375" s="7"/>
      <c r="H375" s="139"/>
      <c r="I375" s="114"/>
    </row>
    <row r="376" spans="4:9" ht="12">
      <c r="D376" s="7"/>
      <c r="E376" s="7"/>
      <c r="F376" s="7"/>
      <c r="G376" s="7"/>
      <c r="H376" s="139"/>
      <c r="I376" s="114"/>
    </row>
    <row r="377" spans="8:9" ht="12">
      <c r="H377" s="128"/>
      <c r="I377" s="114"/>
    </row>
    <row r="378" spans="2:10" ht="18">
      <c r="B378" s="52" t="s">
        <v>415</v>
      </c>
      <c r="C378" s="49"/>
      <c r="D378" s="49"/>
      <c r="E378" s="49"/>
      <c r="F378" s="49"/>
      <c r="G378" s="49"/>
      <c r="H378" s="129"/>
      <c r="I378" s="121"/>
      <c r="J378" s="49"/>
    </row>
    <row r="379" spans="8:9" ht="12">
      <c r="H379" s="128"/>
      <c r="I379" s="114"/>
    </row>
    <row r="380" spans="4:10" ht="13.5" thickBot="1">
      <c r="D380" s="8"/>
      <c r="E380" s="8"/>
      <c r="F380" s="33"/>
      <c r="G380" s="8"/>
      <c r="H380" s="137"/>
      <c r="I380" s="86" t="s">
        <v>451</v>
      </c>
      <c r="J380" s="21"/>
    </row>
    <row r="381" spans="1:10" ht="13.5">
      <c r="A381" t="s">
        <v>255</v>
      </c>
      <c r="D381" s="79" t="s">
        <v>477</v>
      </c>
      <c r="E381" s="79" t="s">
        <v>484</v>
      </c>
      <c r="F381" s="156" t="s">
        <v>489</v>
      </c>
      <c r="G381" s="79" t="s">
        <v>506</v>
      </c>
      <c r="H381" s="56" t="s">
        <v>514</v>
      </c>
      <c r="I381" s="37" t="s">
        <v>505</v>
      </c>
      <c r="J381" s="105" t="s">
        <v>478</v>
      </c>
    </row>
    <row r="382" spans="4:9" ht="12">
      <c r="D382" s="96"/>
      <c r="E382" s="96"/>
      <c r="F382" s="159"/>
      <c r="G382" s="96"/>
      <c r="H382" s="126"/>
      <c r="I382" s="114"/>
    </row>
    <row r="383" spans="1:10" ht="12">
      <c r="A383" t="s">
        <v>19</v>
      </c>
      <c r="B383" t="s">
        <v>20</v>
      </c>
      <c r="D383" s="149">
        <v>5</v>
      </c>
      <c r="E383" s="149">
        <v>5</v>
      </c>
      <c r="F383" s="109"/>
      <c r="G383" s="149">
        <v>0</v>
      </c>
      <c r="H383" s="163">
        <v>0</v>
      </c>
      <c r="I383" s="39">
        <f>H383-G383</f>
        <v>0</v>
      </c>
      <c r="J383" s="19" t="s">
        <v>407</v>
      </c>
    </row>
    <row r="384" spans="1:10" ht="13.5">
      <c r="A384" t="s">
        <v>339</v>
      </c>
      <c r="B384" t="s">
        <v>261</v>
      </c>
      <c r="D384" s="82">
        <v>44144</v>
      </c>
      <c r="E384" s="82">
        <v>44144</v>
      </c>
      <c r="F384" s="108">
        <v>52046</v>
      </c>
      <c r="G384" s="82">
        <f>61162+160</f>
        <v>61322</v>
      </c>
      <c r="H384" s="182">
        <f>61162+160</f>
        <v>61322</v>
      </c>
      <c r="I384" s="183">
        <f>H384-G384</f>
        <v>0</v>
      </c>
      <c r="J384" s="19" t="s">
        <v>407</v>
      </c>
    </row>
    <row r="385" spans="4:10" ht="12">
      <c r="D385" s="5">
        <f>SUM(D383:D384)</f>
        <v>44149</v>
      </c>
      <c r="E385" s="5">
        <f>SUM(E383:E384)</f>
        <v>44149</v>
      </c>
      <c r="F385" s="62">
        <f>SUM(F383:F384)</f>
        <v>52046</v>
      </c>
      <c r="G385" s="5">
        <f>SUM(G383:G384)</f>
        <v>61322</v>
      </c>
      <c r="H385" s="180">
        <f>SUM(H383:H384)</f>
        <v>61322</v>
      </c>
      <c r="I385" s="161">
        <f>H385-G385</f>
        <v>0</v>
      </c>
      <c r="J385" s="19" t="s">
        <v>407</v>
      </c>
    </row>
    <row r="386" spans="4:9" ht="12">
      <c r="D386" s="5"/>
      <c r="E386" s="5"/>
      <c r="F386" s="62"/>
      <c r="G386" s="5"/>
      <c r="H386" s="111"/>
      <c r="I386" s="115"/>
    </row>
    <row r="387" spans="1:9" ht="12">
      <c r="A387" t="s">
        <v>256</v>
      </c>
      <c r="D387" s="5"/>
      <c r="E387" s="5"/>
      <c r="F387" s="62"/>
      <c r="G387" s="5"/>
      <c r="H387" s="111"/>
      <c r="I387" s="115"/>
    </row>
    <row r="388" spans="4:9" ht="12">
      <c r="D388" s="5"/>
      <c r="E388" s="5"/>
      <c r="F388" s="62"/>
      <c r="G388" s="5"/>
      <c r="H388" s="111"/>
      <c r="I388" s="115"/>
    </row>
    <row r="389" spans="1:10" ht="12">
      <c r="A389" s="6" t="s">
        <v>263</v>
      </c>
      <c r="B389" t="s">
        <v>427</v>
      </c>
      <c r="D389" s="149">
        <v>8800</v>
      </c>
      <c r="E389" s="149">
        <v>8800</v>
      </c>
      <c r="F389" s="109">
        <v>8800</v>
      </c>
      <c r="G389" s="149">
        <v>8800</v>
      </c>
      <c r="H389" s="110">
        <v>8800</v>
      </c>
      <c r="I389" s="113">
        <f>H389-G389</f>
        <v>0</v>
      </c>
      <c r="J389" s="19" t="s">
        <v>407</v>
      </c>
    </row>
    <row r="390" spans="1:10" ht="12">
      <c r="A390" s="16" t="s">
        <v>399</v>
      </c>
      <c r="B390" t="s">
        <v>262</v>
      </c>
      <c r="D390" s="149">
        <v>26721</v>
      </c>
      <c r="E390" s="149">
        <v>26721</v>
      </c>
      <c r="F390" s="109">
        <v>34618</v>
      </c>
      <c r="G390" s="149">
        <f>26721-378+8275+9276</f>
        <v>43894</v>
      </c>
      <c r="H390" s="178">
        <f>26721-378+8275+9276</f>
        <v>43894</v>
      </c>
      <c r="I390" s="161">
        <f>H390-G390</f>
        <v>0</v>
      </c>
      <c r="J390" s="19" t="s">
        <v>407</v>
      </c>
    </row>
    <row r="391" spans="1:10" ht="13.5">
      <c r="A391" s="170" t="s">
        <v>397</v>
      </c>
      <c r="B391" s="24" t="s">
        <v>338</v>
      </c>
      <c r="D391" s="85">
        <v>8628</v>
      </c>
      <c r="E391" s="85">
        <v>8628</v>
      </c>
      <c r="F391" s="85">
        <v>8628</v>
      </c>
      <c r="G391" s="85">
        <v>8628</v>
      </c>
      <c r="H391" s="78">
        <v>8628</v>
      </c>
      <c r="I391" s="40">
        <f>H391-G391</f>
        <v>0</v>
      </c>
      <c r="J391" s="19" t="s">
        <v>407</v>
      </c>
    </row>
    <row r="392" spans="4:10" ht="12.75" thickBot="1">
      <c r="D392" s="5">
        <f>SUM(D389:D391)</f>
        <v>44149</v>
      </c>
      <c r="E392" s="5">
        <f>SUM(E389:E391)</f>
        <v>44149</v>
      </c>
      <c r="F392" s="5">
        <f>SUM(F389:F391)</f>
        <v>52046</v>
      </c>
      <c r="G392" s="5">
        <f>SUM(G389:G391)</f>
        <v>61322</v>
      </c>
      <c r="H392" s="185">
        <f>SUM(H389:H391)</f>
        <v>61322</v>
      </c>
      <c r="I392" s="161">
        <f>H392-G392</f>
        <v>0</v>
      </c>
      <c r="J392" s="19" t="s">
        <v>407</v>
      </c>
    </row>
    <row r="393" spans="8:9" ht="12">
      <c r="H393" s="128"/>
      <c r="I393" s="114"/>
    </row>
    <row r="394" spans="8:9" ht="12">
      <c r="H394" s="128"/>
      <c r="I394" s="114"/>
    </row>
    <row r="395" spans="8:9" ht="12">
      <c r="H395" s="118"/>
      <c r="I395" s="119"/>
    </row>
    <row r="396" spans="8:9" ht="12">
      <c r="H396" s="118"/>
      <c r="I396" s="119"/>
    </row>
    <row r="397" spans="1:10" ht="12">
      <c r="A397" s="23"/>
      <c r="B397" s="23"/>
      <c r="C397" s="23"/>
      <c r="D397" s="23"/>
      <c r="E397" s="23"/>
      <c r="F397" s="23"/>
      <c r="G397" s="23"/>
      <c r="H397" s="140"/>
      <c r="I397" s="114"/>
      <c r="J397">
        <v>11</v>
      </c>
    </row>
    <row r="398" spans="2:10" ht="18">
      <c r="B398" s="52" t="s">
        <v>343</v>
      </c>
      <c r="C398" s="49"/>
      <c r="D398" s="49"/>
      <c r="E398" s="49"/>
      <c r="F398" s="49"/>
      <c r="G398" s="49"/>
      <c r="H398" s="129"/>
      <c r="I398" s="121"/>
      <c r="J398" s="49"/>
    </row>
    <row r="399" spans="8:9" ht="12">
      <c r="H399" s="128"/>
      <c r="I399" s="114"/>
    </row>
    <row r="400" spans="4:10" ht="13.5" thickBot="1">
      <c r="D400" s="8"/>
      <c r="E400" s="8"/>
      <c r="F400" s="33"/>
      <c r="G400" s="8"/>
      <c r="H400" s="123"/>
      <c r="I400" s="86" t="s">
        <v>451</v>
      </c>
      <c r="J400" s="21"/>
    </row>
    <row r="401" spans="1:10" ht="13.5">
      <c r="A401" t="s">
        <v>255</v>
      </c>
      <c r="D401" s="79" t="s">
        <v>477</v>
      </c>
      <c r="E401" s="79" t="s">
        <v>484</v>
      </c>
      <c r="F401" s="156" t="s">
        <v>489</v>
      </c>
      <c r="G401" s="79" t="s">
        <v>506</v>
      </c>
      <c r="H401" s="56" t="s">
        <v>514</v>
      </c>
      <c r="I401" s="37" t="s">
        <v>505</v>
      </c>
      <c r="J401" s="105" t="s">
        <v>478</v>
      </c>
    </row>
    <row r="402" spans="5:9" ht="12">
      <c r="E402" s="96"/>
      <c r="F402" s="159"/>
      <c r="G402" s="96"/>
      <c r="H402" s="126"/>
      <c r="I402" s="114"/>
    </row>
    <row r="403" spans="1:10" ht="12">
      <c r="A403" t="s">
        <v>0</v>
      </c>
      <c r="B403" s="4" t="s">
        <v>476</v>
      </c>
      <c r="D403" s="80">
        <v>64807</v>
      </c>
      <c r="E403" s="149">
        <f>43253+21554</f>
        <v>64807</v>
      </c>
      <c r="F403" s="109">
        <f>43253+21554</f>
        <v>64807</v>
      </c>
      <c r="G403" s="149">
        <f>43253+21554</f>
        <v>64807</v>
      </c>
      <c r="H403" s="110">
        <f>43253+21554</f>
        <v>64807</v>
      </c>
      <c r="I403" s="113">
        <f>H403-G403</f>
        <v>0</v>
      </c>
      <c r="J403" s="19" t="s">
        <v>407</v>
      </c>
    </row>
    <row r="404" spans="1:10" ht="12">
      <c r="A404" t="s">
        <v>1</v>
      </c>
      <c r="B404" t="s">
        <v>2</v>
      </c>
      <c r="D404" s="80">
        <f>2467+576.36</f>
        <v>3043.36</v>
      </c>
      <c r="E404" s="149">
        <f>2467+576.36</f>
        <v>3043.36</v>
      </c>
      <c r="F404" s="109">
        <f>2467+576.36</f>
        <v>3043.36</v>
      </c>
      <c r="G404" s="149">
        <f>2467+576.36</f>
        <v>3043.36</v>
      </c>
      <c r="H404" s="110">
        <f>2467+576.36</f>
        <v>3043.36</v>
      </c>
      <c r="I404" s="113">
        <f>H404-G404</f>
        <v>0</v>
      </c>
      <c r="J404" s="19" t="s">
        <v>407</v>
      </c>
    </row>
    <row r="405" spans="1:10" ht="13.5">
      <c r="A405" t="s">
        <v>19</v>
      </c>
      <c r="B405" t="s">
        <v>20</v>
      </c>
      <c r="D405" s="82">
        <v>10</v>
      </c>
      <c r="E405" s="82">
        <v>10</v>
      </c>
      <c r="F405" s="108">
        <v>0</v>
      </c>
      <c r="G405" s="82">
        <v>0</v>
      </c>
      <c r="H405" s="61">
        <v>0</v>
      </c>
      <c r="I405" s="40">
        <f>H405-G405</f>
        <v>0</v>
      </c>
      <c r="J405" s="19" t="s">
        <v>407</v>
      </c>
    </row>
    <row r="406" spans="4:10" ht="12">
      <c r="D406" s="5">
        <f>SUM(D403:D405)</f>
        <v>67860.36</v>
      </c>
      <c r="E406" s="5">
        <f>SUM(E403:E405)</f>
        <v>67860.36</v>
      </c>
      <c r="F406" s="62">
        <f>SUM(F403:F405)</f>
        <v>67850.36</v>
      </c>
      <c r="G406" s="5">
        <f>SUM(G403:G405)</f>
        <v>67850.36</v>
      </c>
      <c r="H406" s="111">
        <f>SUM(H403:H405)</f>
        <v>67850.36</v>
      </c>
      <c r="I406" s="113">
        <f>H406-G406</f>
        <v>0</v>
      </c>
      <c r="J406" s="19" t="s">
        <v>407</v>
      </c>
    </row>
    <row r="407" spans="4:9" ht="12">
      <c r="D407" s="5"/>
      <c r="E407" s="5"/>
      <c r="F407" s="62"/>
      <c r="G407" s="5"/>
      <c r="H407" s="111"/>
      <c r="I407" s="115"/>
    </row>
    <row r="408" spans="1:9" ht="12">
      <c r="A408" t="s">
        <v>256</v>
      </c>
      <c r="D408" s="5"/>
      <c r="E408" s="5"/>
      <c r="F408" s="62"/>
      <c r="G408" s="5"/>
      <c r="H408" s="111"/>
      <c r="I408" s="115"/>
    </row>
    <row r="409" spans="4:9" ht="12">
      <c r="D409" s="5"/>
      <c r="E409" s="5"/>
      <c r="F409" s="62"/>
      <c r="G409" s="5"/>
      <c r="H409" s="111"/>
      <c r="I409" s="115"/>
    </row>
    <row r="410" spans="1:10" ht="12">
      <c r="A410" s="6" t="s">
        <v>397</v>
      </c>
      <c r="B410" t="s">
        <v>338</v>
      </c>
      <c r="D410" s="149">
        <v>67860</v>
      </c>
      <c r="E410" s="149">
        <v>67860</v>
      </c>
      <c r="F410" s="109">
        <v>67850</v>
      </c>
      <c r="G410" s="149">
        <f>11540+1765-50+3009+21554-40+501+29581-10</f>
        <v>67850</v>
      </c>
      <c r="H410" s="163">
        <f>11540+1765-50+3009+21554-40+501+29581-10</f>
        <v>67850</v>
      </c>
      <c r="I410" s="39">
        <f>H410-G410</f>
        <v>0</v>
      </c>
      <c r="J410" s="19" t="s">
        <v>407</v>
      </c>
    </row>
    <row r="411" spans="1:10" ht="12">
      <c r="A411" s="6" t="s">
        <v>258</v>
      </c>
      <c r="B411" t="s">
        <v>418</v>
      </c>
      <c r="D411" s="149">
        <v>0</v>
      </c>
      <c r="E411" s="149">
        <v>0</v>
      </c>
      <c r="F411" s="109">
        <v>0</v>
      </c>
      <c r="G411" s="149">
        <v>0</v>
      </c>
      <c r="H411" s="110">
        <v>0</v>
      </c>
      <c r="I411" s="113">
        <f>H411-G411</f>
        <v>0</v>
      </c>
      <c r="J411" s="19" t="s">
        <v>407</v>
      </c>
    </row>
    <row r="412" spans="1:10" ht="13.5">
      <c r="A412" s="6" t="s">
        <v>260</v>
      </c>
      <c r="B412" t="s">
        <v>419</v>
      </c>
      <c r="D412" s="82">
        <v>0</v>
      </c>
      <c r="E412" s="82">
        <v>0</v>
      </c>
      <c r="F412" s="108">
        <v>0</v>
      </c>
      <c r="G412" s="82">
        <v>0</v>
      </c>
      <c r="H412" s="61">
        <v>0</v>
      </c>
      <c r="I412" s="40">
        <f>H412-G412</f>
        <v>0</v>
      </c>
      <c r="J412" s="19" t="s">
        <v>407</v>
      </c>
    </row>
    <row r="413" spans="4:10" ht="12.75" thickBot="1">
      <c r="D413" s="5">
        <f>SUM(D410:D412)</f>
        <v>67860</v>
      </c>
      <c r="E413" s="5">
        <f>SUM(E410:E412)</f>
        <v>67860</v>
      </c>
      <c r="F413" s="5">
        <f>SUM(F410:F412)</f>
        <v>67850</v>
      </c>
      <c r="G413" s="5">
        <f>SUM(G410:G412)</f>
        <v>67850</v>
      </c>
      <c r="H413" s="116">
        <f>SUM(H410:H412)</f>
        <v>67850</v>
      </c>
      <c r="I413" s="113">
        <f>H413-G413</f>
        <v>0</v>
      </c>
      <c r="J413" s="19" t="s">
        <v>407</v>
      </c>
    </row>
    <row r="414" spans="8:9" ht="12">
      <c r="H414" s="122"/>
      <c r="I414" s="114"/>
    </row>
    <row r="415" spans="8:9" ht="12">
      <c r="H415" s="122"/>
      <c r="I415" s="114"/>
    </row>
    <row r="416" spans="8:9" ht="12">
      <c r="H416" s="122"/>
      <c r="I416" s="114"/>
    </row>
    <row r="417" spans="8:9" ht="12">
      <c r="H417" s="122"/>
      <c r="I417" s="114"/>
    </row>
    <row r="418" spans="8:9" ht="12">
      <c r="H418" s="118"/>
      <c r="I418" s="119"/>
    </row>
    <row r="419" spans="2:10" ht="18">
      <c r="B419" s="52" t="s">
        <v>344</v>
      </c>
      <c r="C419" s="49"/>
      <c r="D419" s="49"/>
      <c r="E419" s="49"/>
      <c r="F419" s="49"/>
      <c r="G419" s="49"/>
      <c r="H419" s="121"/>
      <c r="I419" s="121"/>
      <c r="J419" s="49"/>
    </row>
    <row r="420" spans="8:9" ht="12">
      <c r="H420" s="122"/>
      <c r="I420" s="114"/>
    </row>
    <row r="421" spans="4:10" ht="13.5" thickBot="1">
      <c r="D421" s="8"/>
      <c r="E421" s="8"/>
      <c r="F421" s="33"/>
      <c r="G421" s="8"/>
      <c r="H421" s="123"/>
      <c r="I421" s="86" t="s">
        <v>451</v>
      </c>
      <c r="J421" s="21"/>
    </row>
    <row r="422" spans="1:10" ht="13.5">
      <c r="A422" t="s">
        <v>255</v>
      </c>
      <c r="D422" s="79" t="s">
        <v>477</v>
      </c>
      <c r="E422" s="79" t="s">
        <v>484</v>
      </c>
      <c r="F422" s="156" t="s">
        <v>489</v>
      </c>
      <c r="G422" s="79" t="s">
        <v>506</v>
      </c>
      <c r="H422" s="56" t="s">
        <v>514</v>
      </c>
      <c r="I422" s="37" t="s">
        <v>505</v>
      </c>
      <c r="J422" s="105" t="s">
        <v>478</v>
      </c>
    </row>
    <row r="423" spans="4:9" ht="12">
      <c r="D423" s="94"/>
      <c r="E423" s="94"/>
      <c r="F423" s="158"/>
      <c r="G423" s="94"/>
      <c r="H423" s="124"/>
      <c r="I423" s="114"/>
    </row>
    <row r="424" spans="1:10" ht="12">
      <c r="A424" t="s">
        <v>19</v>
      </c>
      <c r="B424" t="s">
        <v>20</v>
      </c>
      <c r="D424" s="80">
        <v>2</v>
      </c>
      <c r="E424" s="149">
        <v>2</v>
      </c>
      <c r="F424" s="109">
        <v>0</v>
      </c>
      <c r="G424" s="149">
        <v>0</v>
      </c>
      <c r="H424" s="163">
        <v>0</v>
      </c>
      <c r="I424" s="39">
        <f>H424-G424</f>
        <v>0</v>
      </c>
      <c r="J424" s="19" t="s">
        <v>407</v>
      </c>
    </row>
    <row r="425" spans="1:10" ht="13.5">
      <c r="A425" t="s">
        <v>396</v>
      </c>
      <c r="B425" t="s">
        <v>264</v>
      </c>
      <c r="D425" s="82">
        <v>1700</v>
      </c>
      <c r="E425" s="82">
        <v>1700</v>
      </c>
      <c r="F425" s="108">
        <v>1700</v>
      </c>
      <c r="G425" s="82">
        <v>1700</v>
      </c>
      <c r="H425" s="61">
        <v>1700</v>
      </c>
      <c r="I425" s="40">
        <f>H425-G425</f>
        <v>0</v>
      </c>
      <c r="J425" s="19" t="s">
        <v>407</v>
      </c>
    </row>
    <row r="426" spans="2:10" ht="12">
      <c r="B426" s="29"/>
      <c r="D426" s="7">
        <f>SUM(D424:D425)</f>
        <v>1702</v>
      </c>
      <c r="E426" s="7">
        <f>SUM(E424:E425)</f>
        <v>1702</v>
      </c>
      <c r="F426" s="81">
        <f>SUM(F424:F425)</f>
        <v>1700</v>
      </c>
      <c r="G426" s="7">
        <f>SUM(G424:G425)</f>
        <v>1700</v>
      </c>
      <c r="H426" s="110">
        <f>SUM(H424:H425)</f>
        <v>1700</v>
      </c>
      <c r="I426" s="113">
        <f>H426-G426</f>
        <v>0</v>
      </c>
      <c r="J426" s="19" t="s">
        <v>407</v>
      </c>
    </row>
    <row r="427" spans="4:9" ht="12">
      <c r="D427" s="5"/>
      <c r="E427" s="5"/>
      <c r="F427" s="62"/>
      <c r="G427" s="5"/>
      <c r="H427" s="111"/>
      <c r="I427" s="115"/>
    </row>
    <row r="428" spans="1:9" ht="12">
      <c r="A428" t="s">
        <v>256</v>
      </c>
      <c r="D428" s="5"/>
      <c r="E428" s="5"/>
      <c r="F428" s="62"/>
      <c r="G428" s="5"/>
      <c r="H428" s="111"/>
      <c r="I428" s="115"/>
    </row>
    <row r="429" spans="4:9" ht="12">
      <c r="D429" s="5"/>
      <c r="E429" s="5"/>
      <c r="F429" s="62"/>
      <c r="G429" s="5"/>
      <c r="H429" s="111"/>
      <c r="I429" s="115"/>
    </row>
    <row r="430" spans="1:10" ht="12">
      <c r="A430" t="s">
        <v>265</v>
      </c>
      <c r="B430" t="s">
        <v>450</v>
      </c>
      <c r="D430" s="80">
        <v>300</v>
      </c>
      <c r="E430" s="149">
        <v>300</v>
      </c>
      <c r="F430" s="109">
        <v>300</v>
      </c>
      <c r="G430" s="149">
        <v>300</v>
      </c>
      <c r="H430" s="110">
        <v>300</v>
      </c>
      <c r="I430" s="113">
        <f aca="true" t="shared" si="10" ref="I430:I437">H430-G430</f>
        <v>0</v>
      </c>
      <c r="J430" s="19" t="s">
        <v>407</v>
      </c>
    </row>
    <row r="431" spans="1:10" ht="12">
      <c r="A431" t="s">
        <v>266</v>
      </c>
      <c r="B431" t="s">
        <v>49</v>
      </c>
      <c r="D431" s="80">
        <f>ROUND(D430*0.0765,0)</f>
        <v>23</v>
      </c>
      <c r="E431" s="149">
        <f>ROUND(E430*0.0765,0)</f>
        <v>23</v>
      </c>
      <c r="F431" s="109">
        <f>ROUND(F430*0.0765,0)</f>
        <v>23</v>
      </c>
      <c r="G431" s="149">
        <f>ROUND(G430*0.0765,0)</f>
        <v>23</v>
      </c>
      <c r="H431" s="110">
        <f>ROUND(H430*0.0765,0)</f>
        <v>23</v>
      </c>
      <c r="I431" s="113">
        <f t="shared" si="10"/>
        <v>0</v>
      </c>
      <c r="J431" s="19" t="s">
        <v>407</v>
      </c>
    </row>
    <row r="432" spans="1:10" ht="12">
      <c r="A432" t="s">
        <v>267</v>
      </c>
      <c r="B432" t="s">
        <v>162</v>
      </c>
      <c r="D432" s="80">
        <v>12</v>
      </c>
      <c r="E432" s="149">
        <f>ROUND(E430*0.0415,0)</f>
        <v>12</v>
      </c>
      <c r="F432" s="109">
        <v>9</v>
      </c>
      <c r="G432" s="149">
        <f>G430*0.0285</f>
        <v>8.55</v>
      </c>
      <c r="H432" s="163">
        <f>H430*0.0285</f>
        <v>8.55</v>
      </c>
      <c r="I432" s="113">
        <f t="shared" si="10"/>
        <v>0</v>
      </c>
      <c r="J432" s="19" t="s">
        <v>407</v>
      </c>
    </row>
    <row r="433" spans="1:10" ht="12">
      <c r="A433" t="s">
        <v>268</v>
      </c>
      <c r="B433" t="s">
        <v>101</v>
      </c>
      <c r="D433" s="80">
        <v>200</v>
      </c>
      <c r="E433" s="149">
        <v>200</v>
      </c>
      <c r="F433" s="109">
        <v>200</v>
      </c>
      <c r="G433" s="149">
        <v>200</v>
      </c>
      <c r="H433" s="163">
        <v>200</v>
      </c>
      <c r="I433" s="39">
        <f t="shared" si="10"/>
        <v>0</v>
      </c>
      <c r="J433" s="19" t="s">
        <v>407</v>
      </c>
    </row>
    <row r="434" spans="1:10" ht="12">
      <c r="A434" t="s">
        <v>269</v>
      </c>
      <c r="B434" t="s">
        <v>103</v>
      </c>
      <c r="D434" s="80">
        <v>125</v>
      </c>
      <c r="E434" s="149">
        <v>125</v>
      </c>
      <c r="F434" s="109">
        <v>125</v>
      </c>
      <c r="G434" s="149">
        <v>125</v>
      </c>
      <c r="H434" s="163">
        <v>125</v>
      </c>
      <c r="I434" s="39">
        <f t="shared" si="10"/>
        <v>0</v>
      </c>
      <c r="J434" s="19" t="s">
        <v>407</v>
      </c>
    </row>
    <row r="435" spans="1:10" ht="12">
      <c r="A435" t="s">
        <v>270</v>
      </c>
      <c r="B435" t="s">
        <v>53</v>
      </c>
      <c r="D435" s="80">
        <v>892</v>
      </c>
      <c r="E435" s="149">
        <f>922-7-23</f>
        <v>892</v>
      </c>
      <c r="F435" s="109">
        <v>893</v>
      </c>
      <c r="G435" s="149">
        <f>922-7-23-9+4+6</f>
        <v>893</v>
      </c>
      <c r="H435" s="163">
        <f>922-7-23-9+4+6</f>
        <v>893</v>
      </c>
      <c r="I435" s="39">
        <f t="shared" si="10"/>
        <v>0</v>
      </c>
      <c r="J435" s="19" t="s">
        <v>407</v>
      </c>
    </row>
    <row r="436" spans="1:10" ht="13.5">
      <c r="A436" t="s">
        <v>271</v>
      </c>
      <c r="B436" t="s">
        <v>106</v>
      </c>
      <c r="D436" s="82">
        <v>150</v>
      </c>
      <c r="E436" s="82">
        <v>150</v>
      </c>
      <c r="F436" s="108">
        <v>150</v>
      </c>
      <c r="G436" s="82">
        <v>150</v>
      </c>
      <c r="H436" s="61">
        <v>150</v>
      </c>
      <c r="I436" s="40">
        <f t="shared" si="10"/>
        <v>0</v>
      </c>
      <c r="J436" s="19" t="s">
        <v>407</v>
      </c>
    </row>
    <row r="437" spans="4:10" ht="12.75" thickBot="1">
      <c r="D437" s="7">
        <f>SUM(D430:D436)</f>
        <v>1702</v>
      </c>
      <c r="E437" s="7">
        <f>SUM(E430:E436)</f>
        <v>1702</v>
      </c>
      <c r="F437" s="7">
        <f>SUM(F430:F436)</f>
        <v>1700</v>
      </c>
      <c r="G437" s="7">
        <f>SUM(G430:G436)</f>
        <v>1699.55</v>
      </c>
      <c r="H437" s="141">
        <f>SUM(H430:H436)</f>
        <v>1699.55</v>
      </c>
      <c r="I437" s="113">
        <f t="shared" si="10"/>
        <v>0</v>
      </c>
      <c r="J437" s="19" t="s">
        <v>407</v>
      </c>
    </row>
    <row r="438" spans="4:10" ht="12">
      <c r="D438" s="7"/>
      <c r="E438" s="7"/>
      <c r="F438" s="7"/>
      <c r="G438" s="7"/>
      <c r="H438" s="142"/>
      <c r="I438" s="113"/>
      <c r="J438" s="19"/>
    </row>
    <row r="439" spans="4:10" ht="12">
      <c r="D439" s="7"/>
      <c r="E439" s="7"/>
      <c r="F439" s="7"/>
      <c r="G439" s="7"/>
      <c r="H439" s="142"/>
      <c r="I439" s="113"/>
      <c r="J439" s="19"/>
    </row>
    <row r="440" spans="8:9" ht="12">
      <c r="H440" s="118"/>
      <c r="I440" s="119"/>
    </row>
    <row r="441" spans="8:9" ht="12">
      <c r="H441" s="118"/>
      <c r="I441" s="119"/>
    </row>
    <row r="442" spans="1:10" ht="12">
      <c r="A442" s="23"/>
      <c r="B442" s="23"/>
      <c r="C442" s="23"/>
      <c r="D442" s="23"/>
      <c r="E442" s="23"/>
      <c r="F442" s="23"/>
      <c r="G442" s="23"/>
      <c r="H442" s="120"/>
      <c r="I442" s="114"/>
      <c r="J442">
        <v>12</v>
      </c>
    </row>
    <row r="443" spans="2:10" ht="18">
      <c r="B443" s="52" t="s">
        <v>298</v>
      </c>
      <c r="C443" s="49"/>
      <c r="D443" s="49"/>
      <c r="E443" s="49"/>
      <c r="F443" s="49"/>
      <c r="G443" s="49"/>
      <c r="H443" s="121"/>
      <c r="I443" s="121"/>
      <c r="J443" s="49"/>
    </row>
    <row r="444" spans="8:9" ht="12">
      <c r="H444" s="122"/>
      <c r="I444" s="114"/>
    </row>
    <row r="445" spans="4:10" ht="13.5" thickBot="1">
      <c r="D445" s="8"/>
      <c r="E445" s="8"/>
      <c r="F445" s="33"/>
      <c r="G445" s="8"/>
      <c r="H445" s="123"/>
      <c r="I445" s="86" t="s">
        <v>451</v>
      </c>
      <c r="J445" s="21"/>
    </row>
    <row r="446" spans="1:10" ht="13.5">
      <c r="A446" t="s">
        <v>255</v>
      </c>
      <c r="D446" s="79" t="s">
        <v>477</v>
      </c>
      <c r="E446" s="79" t="s">
        <v>484</v>
      </c>
      <c r="F446" s="156" t="s">
        <v>489</v>
      </c>
      <c r="G446" s="79" t="s">
        <v>506</v>
      </c>
      <c r="H446" s="56" t="s">
        <v>514</v>
      </c>
      <c r="I446" s="37" t="s">
        <v>505</v>
      </c>
      <c r="J446" s="105" t="s">
        <v>478</v>
      </c>
    </row>
    <row r="447" spans="4:9" ht="12">
      <c r="D447" s="94"/>
      <c r="E447" s="94"/>
      <c r="F447" s="158"/>
      <c r="G447" s="94"/>
      <c r="H447" s="124"/>
      <c r="I447" s="114"/>
    </row>
    <row r="448" spans="1:10" ht="12">
      <c r="A448" t="s">
        <v>19</v>
      </c>
      <c r="B448" t="s">
        <v>20</v>
      </c>
      <c r="D448" s="149">
        <v>100</v>
      </c>
      <c r="E448" s="149">
        <v>100</v>
      </c>
      <c r="F448" s="109"/>
      <c r="G448" s="149">
        <v>0</v>
      </c>
      <c r="H448" s="163">
        <v>0</v>
      </c>
      <c r="I448" s="39">
        <f>H448-G448</f>
        <v>0</v>
      </c>
      <c r="J448" s="19" t="s">
        <v>407</v>
      </c>
    </row>
    <row r="449" spans="1:10" ht="12">
      <c r="A449" t="s">
        <v>272</v>
      </c>
      <c r="B449" s="147" t="s">
        <v>479</v>
      </c>
      <c r="D449" s="149">
        <v>223217</v>
      </c>
      <c r="E449" s="149">
        <v>223217</v>
      </c>
      <c r="F449" s="109">
        <v>238518</v>
      </c>
      <c r="G449" s="149">
        <f>223217+19611-4310</f>
        <v>238518</v>
      </c>
      <c r="H449" s="163">
        <f>223217+19611-4310</f>
        <v>238518</v>
      </c>
      <c r="I449" s="39">
        <f>H449-G449</f>
        <v>0</v>
      </c>
      <c r="J449" s="19" t="s">
        <v>407</v>
      </c>
    </row>
    <row r="450" spans="1:10" ht="13.5">
      <c r="A450" t="s">
        <v>274</v>
      </c>
      <c r="B450" t="s">
        <v>275</v>
      </c>
      <c r="D450" s="82">
        <v>100</v>
      </c>
      <c r="E450" s="82">
        <v>100</v>
      </c>
      <c r="F450" s="108">
        <v>200</v>
      </c>
      <c r="G450" s="82">
        <v>200</v>
      </c>
      <c r="H450" s="61">
        <v>200</v>
      </c>
      <c r="I450" s="40">
        <f>H450-G450</f>
        <v>0</v>
      </c>
      <c r="J450" s="19" t="s">
        <v>407</v>
      </c>
    </row>
    <row r="451" spans="4:10" ht="12">
      <c r="D451" s="5">
        <f>SUM(D448:D450)</f>
        <v>223417</v>
      </c>
      <c r="E451" s="5">
        <f>SUM(E448:E450)</f>
        <v>223417</v>
      </c>
      <c r="F451" s="62">
        <f>SUM(F448:F450)</f>
        <v>238718</v>
      </c>
      <c r="G451" s="5">
        <f>SUM(G448:G450)</f>
        <v>238718</v>
      </c>
      <c r="H451" s="111">
        <f>SUM(H448:H450)</f>
        <v>238718</v>
      </c>
      <c r="I451" s="113">
        <f>H451-G451</f>
        <v>0</v>
      </c>
      <c r="J451" s="19" t="s">
        <v>407</v>
      </c>
    </row>
    <row r="452" spans="4:9" ht="12">
      <c r="D452" s="5"/>
      <c r="E452" s="5"/>
      <c r="F452" s="62"/>
      <c r="G452" s="5"/>
      <c r="H452" s="111"/>
      <c r="I452" s="115"/>
    </row>
    <row r="453" spans="1:9" ht="12">
      <c r="A453" t="s">
        <v>256</v>
      </c>
      <c r="D453" s="5"/>
      <c r="E453" s="5"/>
      <c r="F453" s="62"/>
      <c r="G453" s="5"/>
      <c r="H453" s="143"/>
      <c r="I453" s="115"/>
    </row>
    <row r="454" spans="4:9" ht="12">
      <c r="D454" s="5"/>
      <c r="E454" s="5"/>
      <c r="F454" s="62"/>
      <c r="G454" s="5"/>
      <c r="H454" s="111"/>
      <c r="I454" s="115"/>
    </row>
    <row r="455" spans="1:10" ht="12">
      <c r="A455" t="s">
        <v>276</v>
      </c>
      <c r="B455" s="4" t="s">
        <v>346</v>
      </c>
      <c r="D455" s="149">
        <f>11897+375</f>
        <v>12272</v>
      </c>
      <c r="E455" s="149">
        <v>12647</v>
      </c>
      <c r="F455" s="106">
        <f>12647+375</f>
        <v>13022</v>
      </c>
      <c r="G455" s="149">
        <v>13397</v>
      </c>
      <c r="H455" s="178">
        <v>13397</v>
      </c>
      <c r="I455" s="184">
        <f aca="true" t="shared" si="11" ref="I455:I474">H455-G455</f>
        <v>0</v>
      </c>
      <c r="J455" s="19" t="s">
        <v>407</v>
      </c>
    </row>
    <row r="456" spans="1:10" ht="12">
      <c r="A456" t="s">
        <v>277</v>
      </c>
      <c r="B456" t="s">
        <v>187</v>
      </c>
      <c r="D456" s="149">
        <v>22766</v>
      </c>
      <c r="E456" s="149">
        <v>23449</v>
      </c>
      <c r="F456" s="106">
        <v>24014</v>
      </c>
      <c r="G456" s="149">
        <v>27216</v>
      </c>
      <c r="H456" s="178">
        <v>27216</v>
      </c>
      <c r="I456" s="184">
        <f t="shared" si="11"/>
        <v>0</v>
      </c>
      <c r="J456" s="19" t="s">
        <v>407</v>
      </c>
    </row>
    <row r="457" spans="1:10" ht="12">
      <c r="A457" t="s">
        <v>279</v>
      </c>
      <c r="B457" t="s">
        <v>450</v>
      </c>
      <c r="C457" s="98"/>
      <c r="D457" s="149">
        <v>28912</v>
      </c>
      <c r="E457" s="149">
        <v>29780</v>
      </c>
      <c r="F457" s="106">
        <v>25776</v>
      </c>
      <c r="G457" s="149">
        <v>29736</v>
      </c>
      <c r="H457" s="178">
        <v>29736</v>
      </c>
      <c r="I457" s="184">
        <f t="shared" si="11"/>
        <v>0</v>
      </c>
      <c r="J457" s="19" t="s">
        <v>407</v>
      </c>
    </row>
    <row r="458" spans="1:10" ht="12">
      <c r="A458" t="s">
        <v>280</v>
      </c>
      <c r="B458" t="s">
        <v>467</v>
      </c>
      <c r="C458" s="30"/>
      <c r="D458" s="149">
        <f>36213*0.55</f>
        <v>19917.15</v>
      </c>
      <c r="E458" s="149">
        <v>20515</v>
      </c>
      <c r="F458" s="106">
        <v>21290</v>
      </c>
      <c r="G458" s="149">
        <v>22091</v>
      </c>
      <c r="H458" s="178">
        <v>22091</v>
      </c>
      <c r="I458" s="184">
        <f t="shared" si="11"/>
        <v>0</v>
      </c>
      <c r="J458" s="19" t="s">
        <v>407</v>
      </c>
    </row>
    <row r="459" spans="1:10" ht="12">
      <c r="A459" t="s">
        <v>281</v>
      </c>
      <c r="B459" t="s">
        <v>426</v>
      </c>
      <c r="C459" s="98"/>
      <c r="D459" s="149">
        <v>15326</v>
      </c>
      <c r="E459" s="149">
        <v>5488</v>
      </c>
      <c r="F459" s="106">
        <v>6237</v>
      </c>
      <c r="G459" s="149">
        <v>7796</v>
      </c>
      <c r="H459" s="178">
        <v>7796</v>
      </c>
      <c r="I459" s="184">
        <f t="shared" si="11"/>
        <v>0</v>
      </c>
      <c r="J459" s="19" t="s">
        <v>407</v>
      </c>
    </row>
    <row r="460" spans="1:10" ht="12">
      <c r="A460" s="4" t="s">
        <v>501</v>
      </c>
      <c r="B460" s="4" t="s">
        <v>499</v>
      </c>
      <c r="C460" s="98"/>
      <c r="D460" s="149"/>
      <c r="E460" s="149"/>
      <c r="F460" s="106">
        <v>1875</v>
      </c>
      <c r="G460" s="149">
        <v>1875</v>
      </c>
      <c r="H460" s="163">
        <v>1875</v>
      </c>
      <c r="I460" s="164">
        <f t="shared" si="11"/>
        <v>0</v>
      </c>
      <c r="J460" s="19" t="s">
        <v>407</v>
      </c>
    </row>
    <row r="461" spans="1:10" ht="12">
      <c r="A461" t="s">
        <v>282</v>
      </c>
      <c r="B461" t="s">
        <v>76</v>
      </c>
      <c r="D461" s="149">
        <f>ROUND((D455+D456+D457+D458)*0.0765,0)</f>
        <v>6416</v>
      </c>
      <c r="E461" s="149">
        <v>6609</v>
      </c>
      <c r="F461" s="106">
        <f>ROUND((F455+F456+F457+F458)*0.0765,0)</f>
        <v>6434</v>
      </c>
      <c r="G461" s="149">
        <f>ROUND((G455+G456+G457+G458)*0.0765,0)</f>
        <v>7072</v>
      </c>
      <c r="H461" s="178">
        <f>ROUND((H455+H456+H457+H458)*0.0765,0)</f>
        <v>7072</v>
      </c>
      <c r="I461" s="184">
        <f t="shared" si="11"/>
        <v>0</v>
      </c>
      <c r="J461" s="19" t="s">
        <v>407</v>
      </c>
    </row>
    <row r="462" spans="1:10" ht="12">
      <c r="A462" t="s">
        <v>283</v>
      </c>
      <c r="B462" t="s">
        <v>162</v>
      </c>
      <c r="D462" s="149">
        <f>(8500+8500)*0.0695</f>
        <v>1181.5</v>
      </c>
      <c r="E462" s="149">
        <v>858</v>
      </c>
      <c r="F462" s="106">
        <f>(8750+8750)*0.0285</f>
        <v>498.75</v>
      </c>
      <c r="G462" s="149">
        <f>(9500+9500)*0.0285</f>
        <v>541.5</v>
      </c>
      <c r="H462" s="178">
        <f>(9500+9500)*0.0285</f>
        <v>541.5</v>
      </c>
      <c r="I462" s="161">
        <f t="shared" si="11"/>
        <v>0</v>
      </c>
      <c r="J462" s="19" t="s">
        <v>407</v>
      </c>
    </row>
    <row r="463" spans="1:10" ht="12">
      <c r="A463" t="s">
        <v>285</v>
      </c>
      <c r="B463" t="s">
        <v>51</v>
      </c>
      <c r="D463" s="149">
        <v>1500</v>
      </c>
      <c r="E463" s="149">
        <v>1500</v>
      </c>
      <c r="F463" s="106">
        <v>1500</v>
      </c>
      <c r="G463" s="149">
        <v>1500</v>
      </c>
      <c r="H463" s="163">
        <v>1500</v>
      </c>
      <c r="I463" s="39">
        <f t="shared" si="11"/>
        <v>0</v>
      </c>
      <c r="J463" s="19" t="s">
        <v>407</v>
      </c>
    </row>
    <row r="464" spans="1:10" ht="12">
      <c r="A464" t="s">
        <v>286</v>
      </c>
      <c r="B464" t="s">
        <v>166</v>
      </c>
      <c r="D464" s="149">
        <v>9000</v>
      </c>
      <c r="E464" s="149">
        <v>10445</v>
      </c>
      <c r="F464" s="106">
        <v>12445</v>
      </c>
      <c r="G464" s="149">
        <v>11445</v>
      </c>
      <c r="H464" s="178">
        <v>11445</v>
      </c>
      <c r="I464" s="161">
        <f t="shared" si="11"/>
        <v>0</v>
      </c>
      <c r="J464" s="19" t="s">
        <v>407</v>
      </c>
    </row>
    <row r="465" spans="1:10" ht="12">
      <c r="A465" t="s">
        <v>287</v>
      </c>
      <c r="B465" t="s">
        <v>201</v>
      </c>
      <c r="D465" s="149">
        <v>350</v>
      </c>
      <c r="E465" s="149">
        <v>350</v>
      </c>
      <c r="F465" s="106">
        <v>350</v>
      </c>
      <c r="G465" s="149">
        <v>350</v>
      </c>
      <c r="H465" s="163">
        <v>350</v>
      </c>
      <c r="I465" s="39">
        <f t="shared" si="11"/>
        <v>0</v>
      </c>
      <c r="J465" s="19" t="s">
        <v>407</v>
      </c>
    </row>
    <row r="466" spans="1:10" ht="12">
      <c r="A466" t="s">
        <v>288</v>
      </c>
      <c r="B466" t="s">
        <v>53</v>
      </c>
      <c r="D466" s="149">
        <v>630</v>
      </c>
      <c r="E466" s="149">
        <v>630</v>
      </c>
      <c r="F466" s="106">
        <v>630</v>
      </c>
      <c r="G466" s="149">
        <v>630</v>
      </c>
      <c r="H466" s="163">
        <v>630</v>
      </c>
      <c r="I466" s="39">
        <f t="shared" si="11"/>
        <v>0</v>
      </c>
      <c r="J466" s="19" t="s">
        <v>407</v>
      </c>
    </row>
    <row r="467" spans="1:10" ht="12">
      <c r="A467" t="s">
        <v>394</v>
      </c>
      <c r="B467" t="s">
        <v>59</v>
      </c>
      <c r="D467" s="149">
        <v>200</v>
      </c>
      <c r="E467" s="149">
        <v>200</v>
      </c>
      <c r="F467" s="106">
        <v>200</v>
      </c>
      <c r="G467" s="149">
        <v>200</v>
      </c>
      <c r="H467" s="163">
        <v>200</v>
      </c>
      <c r="I467" s="39">
        <f t="shared" si="11"/>
        <v>0</v>
      </c>
      <c r="J467" s="19" t="s">
        <v>407</v>
      </c>
    </row>
    <row r="468" spans="1:10" ht="12">
      <c r="A468" t="s">
        <v>290</v>
      </c>
      <c r="B468" t="s">
        <v>61</v>
      </c>
      <c r="D468" s="149">
        <v>1000</v>
      </c>
      <c r="E468" s="149">
        <v>1000</v>
      </c>
      <c r="F468" s="106">
        <v>1000</v>
      </c>
      <c r="G468" s="149">
        <v>1000</v>
      </c>
      <c r="H468" s="163">
        <v>1000</v>
      </c>
      <c r="I468" s="39">
        <f t="shared" si="11"/>
        <v>0</v>
      </c>
      <c r="J468" s="19" t="s">
        <v>407</v>
      </c>
    </row>
    <row r="469" spans="1:10" ht="12">
      <c r="A469" t="s">
        <v>291</v>
      </c>
      <c r="B469" t="s">
        <v>292</v>
      </c>
      <c r="D469" s="149">
        <v>1646</v>
      </c>
      <c r="E469" s="149">
        <v>1646</v>
      </c>
      <c r="F469" s="106">
        <v>1646</v>
      </c>
      <c r="G469" s="149">
        <v>844</v>
      </c>
      <c r="H469" s="178">
        <v>844</v>
      </c>
      <c r="I469" s="161">
        <f t="shared" si="11"/>
        <v>0</v>
      </c>
      <c r="J469" s="19" t="s">
        <v>407</v>
      </c>
    </row>
    <row r="470" spans="1:10" ht="12">
      <c r="A470" t="s">
        <v>293</v>
      </c>
      <c r="B470" t="s">
        <v>294</v>
      </c>
      <c r="C470" s="30"/>
      <c r="D470" s="149">
        <v>54000</v>
      </c>
      <c r="E470" s="149">
        <v>58800</v>
      </c>
      <c r="F470" s="106">
        <v>62800</v>
      </c>
      <c r="G470" s="149">
        <v>57800</v>
      </c>
      <c r="H470" s="178">
        <v>57800</v>
      </c>
      <c r="I470" s="161">
        <f t="shared" si="11"/>
        <v>0</v>
      </c>
      <c r="J470" s="19" t="s">
        <v>407</v>
      </c>
    </row>
    <row r="471" spans="1:10" ht="12">
      <c r="A471" t="s">
        <v>412</v>
      </c>
      <c r="B471" t="s">
        <v>413</v>
      </c>
      <c r="D471" s="149">
        <v>5000</v>
      </c>
      <c r="E471" s="149">
        <v>5000</v>
      </c>
      <c r="F471" s="106">
        <v>7500</v>
      </c>
      <c r="G471" s="149">
        <v>5500</v>
      </c>
      <c r="H471" s="178">
        <v>5500</v>
      </c>
      <c r="I471" s="161">
        <f t="shared" si="11"/>
        <v>0</v>
      </c>
      <c r="J471" s="19" t="s">
        <v>407</v>
      </c>
    </row>
    <row r="472" spans="1:10" ht="12">
      <c r="A472" t="s">
        <v>295</v>
      </c>
      <c r="B472" t="s">
        <v>151</v>
      </c>
      <c r="D472" s="149">
        <v>10500</v>
      </c>
      <c r="E472" s="149">
        <v>10500</v>
      </c>
      <c r="F472" s="106">
        <v>12500</v>
      </c>
      <c r="G472" s="149">
        <v>12500</v>
      </c>
      <c r="H472" s="163">
        <v>12500</v>
      </c>
      <c r="I472" s="39">
        <f t="shared" si="11"/>
        <v>0</v>
      </c>
      <c r="J472" s="19" t="s">
        <v>407</v>
      </c>
    </row>
    <row r="473" spans="1:10" ht="13.5">
      <c r="A473" t="s">
        <v>296</v>
      </c>
      <c r="B473" t="s">
        <v>427</v>
      </c>
      <c r="D473" s="82">
        <v>32800</v>
      </c>
      <c r="E473" s="82">
        <v>34000</v>
      </c>
      <c r="F473" s="108">
        <v>39000</v>
      </c>
      <c r="G473" s="82">
        <v>37224</v>
      </c>
      <c r="H473" s="182">
        <v>37224</v>
      </c>
      <c r="I473" s="183">
        <f t="shared" si="11"/>
        <v>0</v>
      </c>
      <c r="J473" s="19" t="s">
        <v>407</v>
      </c>
    </row>
    <row r="474" spans="4:10" ht="12.75" thickBot="1">
      <c r="D474" s="5">
        <f>SUM(D455:D473)</f>
        <v>223416.65</v>
      </c>
      <c r="E474" s="5">
        <f>SUM(E455:E473)</f>
        <v>223417</v>
      </c>
      <c r="F474" s="5">
        <f>SUM(F455:F473)</f>
        <v>238717.75</v>
      </c>
      <c r="G474" s="5">
        <f>SUM(G455:G473)</f>
        <v>238717.5</v>
      </c>
      <c r="H474" s="116">
        <f>SUM(H455:H473)</f>
        <v>238717.5</v>
      </c>
      <c r="I474" s="113">
        <f t="shared" si="11"/>
        <v>0</v>
      </c>
      <c r="J474" s="19" t="s">
        <v>407</v>
      </c>
    </row>
    <row r="475" spans="8:10" ht="12">
      <c r="H475" s="122"/>
      <c r="I475" s="144"/>
      <c r="J475" s="19"/>
    </row>
    <row r="476" spans="2:9" ht="12">
      <c r="B476" s="104"/>
      <c r="D476" s="103"/>
      <c r="H476" s="122"/>
      <c r="I476" s="133"/>
    </row>
    <row r="477" spans="2:9" ht="12">
      <c r="B477" s="92"/>
      <c r="D477" s="102"/>
      <c r="H477" s="122"/>
      <c r="I477" s="133"/>
    </row>
    <row r="478" spans="2:9" ht="12">
      <c r="B478" s="92"/>
      <c r="D478" s="101"/>
      <c r="H478" s="122"/>
      <c r="I478" s="133"/>
    </row>
    <row r="479" spans="2:9" ht="12">
      <c r="B479" s="92"/>
      <c r="D479" s="102"/>
      <c r="H479" s="118"/>
      <c r="I479" s="119"/>
    </row>
    <row r="480" spans="8:9" ht="12">
      <c r="H480" s="118"/>
      <c r="I480" s="119"/>
    </row>
    <row r="481" spans="1:10" ht="12">
      <c r="A481" s="23"/>
      <c r="B481" s="23"/>
      <c r="C481" s="23"/>
      <c r="D481" s="23"/>
      <c r="E481" s="23"/>
      <c r="F481" s="32"/>
      <c r="G481" s="23"/>
      <c r="H481" s="145"/>
      <c r="I481" s="114"/>
      <c r="J481">
        <v>13</v>
      </c>
    </row>
    <row r="482" spans="2:10" ht="18">
      <c r="B482" s="52" t="s">
        <v>425</v>
      </c>
      <c r="C482" s="49"/>
      <c r="D482" s="49"/>
      <c r="E482" s="49"/>
      <c r="F482" s="49"/>
      <c r="G482" s="49"/>
      <c r="H482" s="121"/>
      <c r="I482" s="121"/>
      <c r="J482" s="49"/>
    </row>
    <row r="483" spans="8:9" ht="12">
      <c r="H483" s="122"/>
      <c r="I483" s="114"/>
    </row>
    <row r="484" spans="4:10" ht="13.5" thickBot="1">
      <c r="D484" s="8"/>
      <c r="E484" s="8"/>
      <c r="F484" s="33"/>
      <c r="G484" s="8"/>
      <c r="H484" s="123"/>
      <c r="I484" s="86" t="s">
        <v>451</v>
      </c>
      <c r="J484" s="21"/>
    </row>
    <row r="485" spans="1:10" ht="13.5">
      <c r="A485" t="s">
        <v>302</v>
      </c>
      <c r="D485" s="79" t="s">
        <v>477</v>
      </c>
      <c r="E485" s="79" t="s">
        <v>484</v>
      </c>
      <c r="F485" s="156" t="s">
        <v>489</v>
      </c>
      <c r="G485" s="79" t="s">
        <v>506</v>
      </c>
      <c r="H485" s="56" t="s">
        <v>514</v>
      </c>
      <c r="I485" s="37" t="s">
        <v>505</v>
      </c>
      <c r="J485" s="105" t="s">
        <v>478</v>
      </c>
    </row>
    <row r="486" spans="8:9" ht="12">
      <c r="H486" s="124"/>
      <c r="I486" s="114"/>
    </row>
    <row r="487" spans="1:10" ht="12">
      <c r="A487" s="6" t="s">
        <v>303</v>
      </c>
      <c r="B487" t="s">
        <v>304</v>
      </c>
      <c r="D487" s="5">
        <f>D46+D47+D48+D49+D50+D51+D362+D363+D403+D404+9259</f>
        <v>726904.36</v>
      </c>
      <c r="E487" s="5">
        <f>E46+E47+E48+E49+E50+E51+E362+E363+E403+E404+9259</f>
        <v>732052.36</v>
      </c>
      <c r="F487" s="5">
        <f>F46+F47+F48+F49+F50+F51+F362+F363+F403+F404+9259</f>
        <v>739302.36</v>
      </c>
      <c r="G487" s="5">
        <f>G46+G47+G48+G49+G50+G51+G362+G363+G403+G404</f>
        <v>741302.36</v>
      </c>
      <c r="H487" s="180">
        <f>H46+H47+H48+H49+H50+H51+H362+H363+H403+H404</f>
        <v>741302.36</v>
      </c>
      <c r="I487" s="161">
        <f aca="true" t="shared" si="12" ref="I487:I494">H487-G487</f>
        <v>0</v>
      </c>
      <c r="J487" s="19" t="s">
        <v>407</v>
      </c>
    </row>
    <row r="488" spans="1:10" ht="12">
      <c r="A488" s="6" t="s">
        <v>305</v>
      </c>
      <c r="B488" t="s">
        <v>306</v>
      </c>
      <c r="D488" s="5">
        <f>D52+D53</f>
        <v>42000</v>
      </c>
      <c r="E488" s="5">
        <f>E52+E53</f>
        <v>42000</v>
      </c>
      <c r="F488" s="5">
        <f>F52+F53</f>
        <v>42000</v>
      </c>
      <c r="G488" s="5">
        <f>G52+G53</f>
        <v>42000</v>
      </c>
      <c r="H488" s="165">
        <f>H52+H53</f>
        <v>42000</v>
      </c>
      <c r="I488" s="39">
        <f t="shared" si="12"/>
        <v>0</v>
      </c>
      <c r="J488" s="19" t="s">
        <v>407</v>
      </c>
    </row>
    <row r="489" spans="1:10" ht="12">
      <c r="A489" s="6" t="s">
        <v>307</v>
      </c>
      <c r="B489" t="s">
        <v>308</v>
      </c>
      <c r="D489" s="5">
        <f>D54+D55+D56</f>
        <v>27750</v>
      </c>
      <c r="E489" s="5">
        <f>E54+E55+E56</f>
        <v>27750</v>
      </c>
      <c r="F489" s="5">
        <f>F54+F55+F56</f>
        <v>27750</v>
      </c>
      <c r="G489" s="5">
        <f>G54+G55+G56</f>
        <v>27750</v>
      </c>
      <c r="H489" s="165">
        <f>H54+H55+H56</f>
        <v>27750</v>
      </c>
      <c r="I489" s="39">
        <f t="shared" si="12"/>
        <v>0</v>
      </c>
      <c r="J489" s="19" t="s">
        <v>407</v>
      </c>
    </row>
    <row r="490" spans="1:10" ht="12">
      <c r="A490" s="6" t="s">
        <v>309</v>
      </c>
      <c r="B490" t="s">
        <v>310</v>
      </c>
      <c r="D490" s="5">
        <f>D57+D58+D364+D383+D405+D424+D425+D448+2</f>
        <v>2364</v>
      </c>
      <c r="E490" s="5">
        <f>E57+E58+E364+E383+E405+E424+E425+E448+2</f>
        <v>2364</v>
      </c>
      <c r="F490" s="5">
        <f>F57+F58+F364+F383+F405+F424+F425+F448</f>
        <v>2240</v>
      </c>
      <c r="G490" s="5">
        <f>G57+G58+G364+G383+G405+G424+G425+G448</f>
        <v>2240</v>
      </c>
      <c r="H490" s="165">
        <f>H57+H58+H364+H383+H405+H424+H425+H448</f>
        <v>2240</v>
      </c>
      <c r="I490" s="39">
        <f t="shared" si="12"/>
        <v>0</v>
      </c>
      <c r="J490" s="19" t="s">
        <v>407</v>
      </c>
    </row>
    <row r="491" spans="1:10" ht="12">
      <c r="A491" s="6" t="s">
        <v>311</v>
      </c>
      <c r="B491" t="s">
        <v>312</v>
      </c>
      <c r="D491" s="5">
        <f>D59+D60+D61+D62+D64+D384</f>
        <v>73040</v>
      </c>
      <c r="E491" s="5">
        <f>E59+E60+E61+E62+E64+E384</f>
        <v>72684</v>
      </c>
      <c r="F491" s="167">
        <f>F59+F60+F61+F62+F64+F384+F63</f>
        <v>85097</v>
      </c>
      <c r="G491" s="5">
        <f>G59+G60+G61+G62+G64+G384+G63</f>
        <v>94476</v>
      </c>
      <c r="H491" s="180">
        <f>H59+H60+H61+H62+H64+H384+H63</f>
        <v>94476</v>
      </c>
      <c r="I491" s="161">
        <f t="shared" si="12"/>
        <v>0</v>
      </c>
      <c r="J491" s="19" t="s">
        <v>407</v>
      </c>
    </row>
    <row r="492" spans="1:10" ht="12">
      <c r="A492" s="6" t="s">
        <v>313</v>
      </c>
      <c r="B492" t="s">
        <v>314</v>
      </c>
      <c r="D492" s="5">
        <f>D65+D67+D68+D69+D70+D449+D450</f>
        <v>231497</v>
      </c>
      <c r="E492" s="5">
        <f>E65+E67+E68+E69+E70+E449+E450</f>
        <v>231614</v>
      </c>
      <c r="F492" s="5">
        <f>F65+F67+F68+F69+F70+F449+F450</f>
        <v>247892</v>
      </c>
      <c r="G492" s="5">
        <f>G65+G66+G67+G68+G69+G70+G449+G450</f>
        <v>248192</v>
      </c>
      <c r="H492" s="180">
        <f>H65+H66+H67+H68+H69+H70+H449+H450</f>
        <v>248192</v>
      </c>
      <c r="I492" s="161">
        <f t="shared" si="12"/>
        <v>0</v>
      </c>
      <c r="J492" s="19" t="s">
        <v>407</v>
      </c>
    </row>
    <row r="493" spans="1:10" ht="13.5">
      <c r="A493" s="6" t="s">
        <v>315</v>
      </c>
      <c r="B493" t="s">
        <v>316</v>
      </c>
      <c r="D493" s="48">
        <v>0</v>
      </c>
      <c r="E493" s="48">
        <v>0</v>
      </c>
      <c r="F493" s="48">
        <v>0</v>
      </c>
      <c r="G493" s="48">
        <v>0</v>
      </c>
      <c r="H493" s="78">
        <v>0</v>
      </c>
      <c r="I493" s="40">
        <f t="shared" si="12"/>
        <v>0</v>
      </c>
      <c r="J493" s="19" t="s">
        <v>407</v>
      </c>
    </row>
    <row r="494" spans="4:10" ht="12">
      <c r="D494" s="5">
        <f>SUM(D487:D493)</f>
        <v>1103555.3599999999</v>
      </c>
      <c r="E494" s="5">
        <f>SUM(E487:E493)</f>
        <v>1108464.3599999999</v>
      </c>
      <c r="F494" s="5">
        <f>SUM(F487:F493)</f>
        <v>1144281.3599999999</v>
      </c>
      <c r="G494" s="5">
        <f>SUM(G487:G493)</f>
        <v>1155960.3599999999</v>
      </c>
      <c r="H494" s="180">
        <f>SUM(H487:H493)</f>
        <v>1155960.3599999999</v>
      </c>
      <c r="I494" s="161">
        <f t="shared" si="12"/>
        <v>0</v>
      </c>
      <c r="J494" s="19" t="s">
        <v>407</v>
      </c>
    </row>
    <row r="495" spans="4:9" ht="12">
      <c r="D495" s="5"/>
      <c r="E495" s="5"/>
      <c r="F495" s="5"/>
      <c r="G495" s="5"/>
      <c r="H495" s="111"/>
      <c r="I495" s="115"/>
    </row>
    <row r="496" spans="4:9" ht="12">
      <c r="D496" s="5"/>
      <c r="E496" s="5"/>
      <c r="F496" s="5"/>
      <c r="G496" s="5"/>
      <c r="H496" s="111"/>
      <c r="I496" s="115"/>
    </row>
    <row r="497" spans="1:9" ht="12">
      <c r="A497" t="s">
        <v>317</v>
      </c>
      <c r="D497" s="5"/>
      <c r="E497" s="5"/>
      <c r="F497" s="5"/>
      <c r="G497" s="5"/>
      <c r="H497" s="111"/>
      <c r="I497" s="115"/>
    </row>
    <row r="498" spans="4:9" ht="12">
      <c r="D498" s="5"/>
      <c r="E498" s="5"/>
      <c r="F498" s="5"/>
      <c r="G498" s="5"/>
      <c r="H498" s="111"/>
      <c r="I498" s="115"/>
    </row>
    <row r="499" spans="1:10" ht="12">
      <c r="A499" s="6" t="s">
        <v>40</v>
      </c>
      <c r="B499" t="s">
        <v>41</v>
      </c>
      <c r="D499" s="5">
        <f>D124+D149</f>
        <v>171982.77000000002</v>
      </c>
      <c r="E499" s="5">
        <f>E124+E149</f>
        <v>179165.87</v>
      </c>
      <c r="F499" s="5">
        <f>F124+F149</f>
        <v>180131.72</v>
      </c>
      <c r="G499" s="5">
        <f>G124+G149</f>
        <v>177530.175</v>
      </c>
      <c r="H499" s="180">
        <f>H124+H149</f>
        <v>177530.175</v>
      </c>
      <c r="I499" s="161">
        <f aca="true" t="shared" si="13" ref="I499:I507">H499-G499</f>
        <v>0</v>
      </c>
      <c r="J499" s="19" t="s">
        <v>407</v>
      </c>
    </row>
    <row r="500" spans="1:10" ht="12">
      <c r="A500" s="6" t="s">
        <v>119</v>
      </c>
      <c r="B500" t="s">
        <v>318</v>
      </c>
      <c r="D500" s="5">
        <f>D195+D218+D232+D251</f>
        <v>325786.043</v>
      </c>
      <c r="E500" s="5">
        <f>E195+E218+E226+E232+E251</f>
        <v>326803</v>
      </c>
      <c r="F500" s="5">
        <f>F195+F218+F226+F232+F251</f>
        <v>336412.78099999996</v>
      </c>
      <c r="G500" s="5">
        <f>G195+G218+G226+G232+G251</f>
        <v>347312.3615</v>
      </c>
      <c r="H500" s="189">
        <f>H195+H218+H226+H232+H251</f>
        <v>347312.3615</v>
      </c>
      <c r="I500" s="161">
        <f t="shared" si="13"/>
        <v>0</v>
      </c>
      <c r="J500" s="19" t="s">
        <v>407</v>
      </c>
    </row>
    <row r="501" spans="1:10" ht="12">
      <c r="A501" s="6" t="s">
        <v>319</v>
      </c>
      <c r="B501" t="s">
        <v>320</v>
      </c>
      <c r="D501" s="5">
        <f>D474</f>
        <v>223416.65</v>
      </c>
      <c r="E501" s="5">
        <f>E474</f>
        <v>223417</v>
      </c>
      <c r="F501" s="5">
        <f>F474</f>
        <v>238717.75</v>
      </c>
      <c r="G501" s="5">
        <f>G474</f>
        <v>238717.5</v>
      </c>
      <c r="H501" s="165">
        <f>H474</f>
        <v>238717.5</v>
      </c>
      <c r="I501" s="39">
        <f t="shared" si="13"/>
        <v>0</v>
      </c>
      <c r="J501" s="19" t="s">
        <v>407</v>
      </c>
    </row>
    <row r="502" spans="1:10" ht="12">
      <c r="A502" s="6" t="s">
        <v>185</v>
      </c>
      <c r="B502" t="s">
        <v>321</v>
      </c>
      <c r="D502" s="5">
        <f>D302+D389+D390+D391+D410+6025</f>
        <v>266696.97000000003</v>
      </c>
      <c r="E502" s="5">
        <f>E302+E389+E390+E391+E410+6025</f>
        <v>264609.18</v>
      </c>
      <c r="F502" s="5">
        <f>F302+F389+F390+F391+F410+6025</f>
        <v>272496.23</v>
      </c>
      <c r="G502" s="5">
        <f>G302+G389+G390+G391+G410</f>
        <v>275746.9</v>
      </c>
      <c r="H502" s="189">
        <f>H302+H389+H390+H391+H410</f>
        <v>275746.9</v>
      </c>
      <c r="I502" s="161">
        <f t="shared" si="13"/>
        <v>0</v>
      </c>
      <c r="J502" s="19" t="s">
        <v>407</v>
      </c>
    </row>
    <row r="503" spans="1:10" ht="12">
      <c r="A503" s="6" t="s">
        <v>322</v>
      </c>
      <c r="B503" t="s">
        <v>323</v>
      </c>
      <c r="D503" s="5">
        <f>D317+D437</f>
        <v>30567</v>
      </c>
      <c r="E503" s="5">
        <f>E317+E437</f>
        <v>30377</v>
      </c>
      <c r="F503" s="5">
        <f>F317+F437</f>
        <v>30184</v>
      </c>
      <c r="G503" s="5">
        <f>G317+G437</f>
        <v>32288.55</v>
      </c>
      <c r="H503" s="180">
        <f>H317+H437</f>
        <v>32288.55</v>
      </c>
      <c r="I503" s="161">
        <f t="shared" si="13"/>
        <v>0</v>
      </c>
      <c r="J503" s="19" t="s">
        <v>407</v>
      </c>
    </row>
    <row r="504" spans="1:10" ht="12">
      <c r="A504" s="6" t="s">
        <v>324</v>
      </c>
      <c r="B504" t="s">
        <v>325</v>
      </c>
      <c r="D504" s="62">
        <f>D369+D370+D412+D411</f>
        <v>11584</v>
      </c>
      <c r="E504" s="62">
        <f>E369+E370+E412+E411</f>
        <v>11584</v>
      </c>
      <c r="F504" s="62">
        <f>F369+F370+F412+F411</f>
        <v>11584</v>
      </c>
      <c r="G504" s="62">
        <f>G369+G370+G412+G411</f>
        <v>11584</v>
      </c>
      <c r="H504" s="177">
        <f>H369+H370+H412+H411</f>
        <v>11584</v>
      </c>
      <c r="I504" s="39">
        <f t="shared" si="13"/>
        <v>0</v>
      </c>
      <c r="J504" s="19" t="s">
        <v>407</v>
      </c>
    </row>
    <row r="505" spans="1:10" ht="12">
      <c r="A505" s="6" t="s">
        <v>326</v>
      </c>
      <c r="B505" t="s">
        <v>424</v>
      </c>
      <c r="D505" s="5">
        <f>D338+D342</f>
        <v>59020</v>
      </c>
      <c r="E505" s="5">
        <f>E338+E342</f>
        <v>58007</v>
      </c>
      <c r="F505" s="5">
        <f>F338+F342</f>
        <v>60260</v>
      </c>
      <c r="G505" s="5">
        <f>G338+G342</f>
        <v>61519</v>
      </c>
      <c r="H505" s="180">
        <f>H338+H342</f>
        <v>61519</v>
      </c>
      <c r="I505" s="161">
        <f t="shared" si="13"/>
        <v>0</v>
      </c>
      <c r="J505" s="19" t="s">
        <v>407</v>
      </c>
    </row>
    <row r="506" spans="2:10" ht="13.5">
      <c r="B506" t="s">
        <v>327</v>
      </c>
      <c r="D506" s="48">
        <f>D371+3236</f>
        <v>14501</v>
      </c>
      <c r="E506" s="48">
        <f>E371+3236</f>
        <v>14501</v>
      </c>
      <c r="F506" s="48">
        <f>F371+3236-2</f>
        <v>14494</v>
      </c>
      <c r="G506" s="48">
        <f>G371</f>
        <v>11260</v>
      </c>
      <c r="H506" s="186">
        <f>H371</f>
        <v>11260</v>
      </c>
      <c r="I506" s="183">
        <f t="shared" si="13"/>
        <v>0</v>
      </c>
      <c r="J506" s="19" t="s">
        <v>407</v>
      </c>
    </row>
    <row r="507" spans="4:10" ht="12">
      <c r="D507" s="5">
        <f>SUM(D499:D506)+1</f>
        <v>1103555.433</v>
      </c>
      <c r="E507" s="62">
        <f>SUM(E499:E506)</f>
        <v>1108464.05</v>
      </c>
      <c r="F507" s="112">
        <f>SUM(F499:F506)+1</f>
        <v>1144281.481</v>
      </c>
      <c r="G507" s="62">
        <f>SUM(G499:G506)+2</f>
        <v>1155960.4864999999</v>
      </c>
      <c r="H507" s="180">
        <f>SUM(H499:H506)+2</f>
        <v>1155960.4864999999</v>
      </c>
      <c r="I507" s="161">
        <f t="shared" si="13"/>
        <v>0</v>
      </c>
      <c r="J507" s="19" t="s">
        <v>407</v>
      </c>
    </row>
    <row r="508" spans="8:9" ht="12">
      <c r="H508" s="126"/>
      <c r="I508" s="114"/>
    </row>
    <row r="509" spans="2:9" ht="12">
      <c r="B509" t="s">
        <v>414</v>
      </c>
      <c r="H509" s="126"/>
      <c r="I509" s="133">
        <f>I507/G507</f>
        <v>0</v>
      </c>
    </row>
    <row r="510" spans="8:9" ht="12">
      <c r="H510" s="126"/>
      <c r="I510" s="114"/>
    </row>
    <row r="511" spans="2:9" ht="12.75" thickBot="1">
      <c r="B511" s="26" t="s">
        <v>254</v>
      </c>
      <c r="D511" s="29">
        <f aca="true" t="shared" si="14" ref="D511:I511">D494-D507</f>
        <v>-0.07300000009126961</v>
      </c>
      <c r="E511" s="29">
        <f t="shared" si="14"/>
        <v>0.3099999998230487</v>
      </c>
      <c r="F511" s="29">
        <f t="shared" si="14"/>
        <v>-0.12100000004284084</v>
      </c>
      <c r="G511" s="29">
        <f t="shared" si="14"/>
        <v>-0.12650000001303852</v>
      </c>
      <c r="H511" s="116">
        <f t="shared" si="14"/>
        <v>-0.12650000001303852</v>
      </c>
      <c r="I511" s="154">
        <f t="shared" si="14"/>
        <v>0</v>
      </c>
    </row>
    <row r="512" spans="1:10" ht="12">
      <c r="A512" s="23"/>
      <c r="B512" s="23"/>
      <c r="C512" s="23"/>
      <c r="D512" s="23"/>
      <c r="E512" s="23"/>
      <c r="F512" s="32"/>
      <c r="G512" s="23"/>
      <c r="H512" s="135"/>
      <c r="I512" s="136"/>
      <c r="J512">
        <v>14</v>
      </c>
    </row>
    <row r="513" spans="2:10" ht="18">
      <c r="B513" s="52" t="s">
        <v>481</v>
      </c>
      <c r="C513" s="49"/>
      <c r="D513" s="49"/>
      <c r="E513" s="49"/>
      <c r="F513" s="49"/>
      <c r="G513" s="49"/>
      <c r="H513" s="129"/>
      <c r="I513" s="121"/>
      <c r="J513" s="49"/>
    </row>
    <row r="514" spans="6:9" ht="12">
      <c r="F514" s="5"/>
      <c r="H514" s="5"/>
      <c r="I514" s="1"/>
    </row>
    <row r="515" spans="4:8" ht="12">
      <c r="D515" s="31"/>
      <c r="E515" s="31"/>
      <c r="F515" s="5"/>
      <c r="G515" s="31"/>
      <c r="H515" s="50"/>
    </row>
    <row r="516" spans="1:4" ht="13.5">
      <c r="A516" t="s">
        <v>159</v>
      </c>
      <c r="B516" t="s">
        <v>160</v>
      </c>
      <c r="D516" s="79" t="s">
        <v>514</v>
      </c>
    </row>
    <row r="517" ht="12">
      <c r="D517" s="148"/>
    </row>
    <row r="518" spans="1:4" ht="12">
      <c r="A518" t="s">
        <v>163</v>
      </c>
      <c r="B518" t="s">
        <v>101</v>
      </c>
      <c r="D518" s="142">
        <f aca="true" t="shared" si="15" ref="D518:D526">G206</f>
        <v>500</v>
      </c>
    </row>
    <row r="519" spans="1:4" ht="12">
      <c r="A519" t="s">
        <v>164</v>
      </c>
      <c r="B519" t="s">
        <v>139</v>
      </c>
      <c r="D519" s="149">
        <f t="shared" si="15"/>
        <v>1200</v>
      </c>
    </row>
    <row r="520" spans="1:4" ht="12">
      <c r="A520" t="s">
        <v>165</v>
      </c>
      <c r="B520" t="s">
        <v>166</v>
      </c>
      <c r="D520" s="149">
        <f t="shared" si="15"/>
        <v>3841</v>
      </c>
    </row>
    <row r="521" spans="1:4" ht="12">
      <c r="A521" t="s">
        <v>167</v>
      </c>
      <c r="B521" t="s">
        <v>143</v>
      </c>
      <c r="D521" s="142">
        <f t="shared" si="15"/>
        <v>4000</v>
      </c>
    </row>
    <row r="522" spans="1:4" ht="12">
      <c r="A522" t="s">
        <v>168</v>
      </c>
      <c r="B522" t="s">
        <v>59</v>
      </c>
      <c r="D522" s="150">
        <f t="shared" si="15"/>
        <v>1900</v>
      </c>
    </row>
    <row r="523" spans="1:4" ht="12">
      <c r="A523" t="s">
        <v>169</v>
      </c>
      <c r="B523" t="s">
        <v>149</v>
      </c>
      <c r="D523" s="149">
        <f t="shared" si="15"/>
        <v>500</v>
      </c>
    </row>
    <row r="524" spans="1:4" ht="12">
      <c r="A524" t="s">
        <v>170</v>
      </c>
      <c r="B524" t="s">
        <v>171</v>
      </c>
      <c r="D524" s="149">
        <f t="shared" si="15"/>
        <v>2955</v>
      </c>
    </row>
    <row r="525" spans="1:4" ht="12">
      <c r="A525" t="s">
        <v>172</v>
      </c>
      <c r="B525" t="s">
        <v>67</v>
      </c>
      <c r="D525" s="149">
        <f t="shared" si="15"/>
        <v>700</v>
      </c>
    </row>
    <row r="526" spans="1:4" ht="12">
      <c r="A526" t="s">
        <v>173</v>
      </c>
      <c r="B526" t="s">
        <v>151</v>
      </c>
      <c r="D526" s="149">
        <f t="shared" si="15"/>
        <v>6000</v>
      </c>
    </row>
    <row r="527" spans="1:4" ht="12">
      <c r="A527" t="s">
        <v>174</v>
      </c>
      <c r="B527" t="s">
        <v>449</v>
      </c>
      <c r="D527" s="149">
        <v>0</v>
      </c>
    </row>
    <row r="528" spans="1:4" ht="12">
      <c r="A528" t="s">
        <v>175</v>
      </c>
      <c r="B528" t="s">
        <v>176</v>
      </c>
      <c r="D528" s="149">
        <f>G216</f>
        <v>7200</v>
      </c>
    </row>
    <row r="529" spans="1:4" ht="13.5">
      <c r="A529" t="s">
        <v>299</v>
      </c>
      <c r="B529" t="s">
        <v>448</v>
      </c>
      <c r="D529" s="82">
        <f>G217</f>
        <v>1800</v>
      </c>
    </row>
    <row r="530" ht="12">
      <c r="D530" s="117">
        <f>SUM(D518:D529)</f>
        <v>30596</v>
      </c>
    </row>
    <row r="532" spans="1:2" ht="12">
      <c r="A532" t="s">
        <v>93</v>
      </c>
      <c r="B532" s="147" t="s">
        <v>480</v>
      </c>
    </row>
    <row r="534" spans="1:4" ht="12">
      <c r="A534" t="s">
        <v>105</v>
      </c>
      <c r="B534" t="s">
        <v>106</v>
      </c>
      <c r="D534" s="5">
        <f>G140/2</f>
        <v>5375</v>
      </c>
    </row>
    <row r="535" spans="1:4" ht="12">
      <c r="A535" t="s">
        <v>107</v>
      </c>
      <c r="B535" t="s">
        <v>108</v>
      </c>
      <c r="D535" s="5">
        <f>G141/2</f>
        <v>5475</v>
      </c>
    </row>
    <row r="536" spans="1:4" ht="12">
      <c r="A536" t="s">
        <v>109</v>
      </c>
      <c r="B536" t="s">
        <v>110</v>
      </c>
      <c r="D536" s="5">
        <f>G142/2</f>
        <v>500</v>
      </c>
    </row>
    <row r="537" spans="1:4" ht="12">
      <c r="A537" t="s">
        <v>113</v>
      </c>
      <c r="B537" t="s">
        <v>114</v>
      </c>
      <c r="D537" s="5">
        <f>G144/2</f>
        <v>4243.5</v>
      </c>
    </row>
    <row r="538" spans="1:4" ht="13.5">
      <c r="A538" t="s">
        <v>430</v>
      </c>
      <c r="B538" t="s">
        <v>431</v>
      </c>
      <c r="D538" s="48">
        <f>G148/2</f>
        <v>4000</v>
      </c>
    </row>
    <row r="539" ht="12">
      <c r="D539" s="5">
        <f>SUM(D534:D538)</f>
        <v>19593.5</v>
      </c>
    </row>
    <row r="541" ht="12">
      <c r="B541" s="147" t="s">
        <v>341</v>
      </c>
    </row>
    <row r="543" spans="1:4" ht="12">
      <c r="A543" t="s">
        <v>258</v>
      </c>
      <c r="B543" t="s">
        <v>259</v>
      </c>
      <c r="D543" s="150">
        <f>G369</f>
        <v>9243</v>
      </c>
    </row>
    <row r="544" spans="1:4" ht="12">
      <c r="A544" t="s">
        <v>260</v>
      </c>
      <c r="B544" t="s">
        <v>257</v>
      </c>
      <c r="D544" s="149">
        <f>G370</f>
        <v>2341</v>
      </c>
    </row>
    <row r="545" spans="2:4" ht="13.5">
      <c r="B545" t="s">
        <v>327</v>
      </c>
      <c r="D545" s="85">
        <f>G371</f>
        <v>11260</v>
      </c>
    </row>
    <row r="546" ht="12">
      <c r="D546" s="117">
        <f>SUM(D543:D545)</f>
        <v>22844</v>
      </c>
    </row>
    <row r="548" spans="2:4" ht="13.5">
      <c r="B548" s="147" t="s">
        <v>481</v>
      </c>
      <c r="D548" s="151">
        <f>D530+D539+D546</f>
        <v>73033.5</v>
      </c>
    </row>
  </sheetData>
  <sheetProtection/>
  <mergeCells count="4">
    <mergeCell ref="A84:D84"/>
    <mergeCell ref="A22:J22"/>
    <mergeCell ref="A19:J19"/>
    <mergeCell ref="A20:J20"/>
  </mergeCells>
  <printOptions horizontalCentered="1"/>
  <pageMargins left="0.25" right="0.25" top="0.25" bottom="0.25" header="0.25" footer="0.25"/>
  <pageSetup horizontalDpi="600" verticalDpi="600" orientation="landscape" scale="98" r:id="rId1"/>
  <rowBreaks count="14" manualBreakCount="14">
    <brk id="39" max="255" man="1"/>
    <brk id="81" max="255" man="1"/>
    <brk id="127" max="255" man="1"/>
    <brk id="153" max="255" man="1"/>
    <brk id="199" max="255" man="1"/>
    <brk id="236" max="255" man="1"/>
    <brk id="255" max="255" man="1"/>
    <brk id="302" max="255" man="1"/>
    <brk id="321" max="255" man="1"/>
    <brk id="355" max="255" man="1"/>
    <brk id="396" max="255" man="1"/>
    <brk id="441" max="255" man="1"/>
    <brk id="480" max="255" man="1"/>
    <brk id="5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39" sqref="C39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30.8515625" style="0" customWidth="1"/>
    <col min="4" max="4" width="12.7109375" style="0" customWidth="1"/>
    <col min="5" max="5" width="8.8515625" style="0" customWidth="1"/>
    <col min="6" max="6" width="12.7109375" style="0" customWidth="1"/>
    <col min="7" max="7" width="2.7109375" style="0" customWidth="1"/>
  </cols>
  <sheetData>
    <row r="1" spans="1:7" ht="12">
      <c r="A1" s="304" t="s">
        <v>298</v>
      </c>
      <c r="B1" s="304"/>
      <c r="C1" s="304"/>
      <c r="D1" s="304"/>
      <c r="E1" s="304"/>
      <c r="F1" s="304"/>
      <c r="G1" s="304"/>
    </row>
    <row r="2" spans="1:7" ht="12">
      <c r="A2" s="304">
        <v>2000</v>
      </c>
      <c r="B2" s="304"/>
      <c r="C2" s="304"/>
      <c r="D2" s="304"/>
      <c r="E2" s="304"/>
      <c r="F2" s="304"/>
      <c r="G2" s="304"/>
    </row>
    <row r="5" ht="12">
      <c r="A5" t="s">
        <v>255</v>
      </c>
    </row>
    <row r="6" ht="12">
      <c r="D6" s="1"/>
    </row>
    <row r="7" spans="1:4" ht="12">
      <c r="A7" t="s">
        <v>19</v>
      </c>
      <c r="B7" t="s">
        <v>20</v>
      </c>
      <c r="D7" s="1">
        <v>800</v>
      </c>
    </row>
    <row r="8" spans="1:4" ht="12">
      <c r="A8" t="s">
        <v>272</v>
      </c>
      <c r="B8" t="s">
        <v>273</v>
      </c>
      <c r="D8" s="1">
        <f>130973+472+1510</f>
        <v>132955</v>
      </c>
    </row>
    <row r="9" spans="1:4" ht="13.5">
      <c r="A9" t="s">
        <v>274</v>
      </c>
      <c r="B9" t="s">
        <v>275</v>
      </c>
      <c r="D9" s="2">
        <v>100</v>
      </c>
    </row>
    <row r="10" ht="12">
      <c r="D10" s="1">
        <f>SUM(D7:D9)</f>
        <v>133855</v>
      </c>
    </row>
    <row r="12" spans="1:6" ht="12">
      <c r="A12" t="s">
        <v>256</v>
      </c>
      <c r="D12" s="9"/>
      <c r="F12" s="10" t="s">
        <v>358</v>
      </c>
    </row>
    <row r="14" spans="1:4" ht="12">
      <c r="A14" t="s">
        <v>276</v>
      </c>
      <c r="B14" t="s">
        <v>346</v>
      </c>
      <c r="D14" s="1">
        <v>4478</v>
      </c>
    </row>
    <row r="15" spans="1:6" ht="12">
      <c r="A15" t="s">
        <v>277</v>
      </c>
      <c r="B15" t="s">
        <v>187</v>
      </c>
      <c r="D15" s="1">
        <v>11007</v>
      </c>
      <c r="E15" t="s">
        <v>351</v>
      </c>
      <c r="F15" s="1">
        <v>11007</v>
      </c>
    </row>
    <row r="16" spans="1:6" ht="12">
      <c r="A16" t="s">
        <v>278</v>
      </c>
      <c r="B16" t="s">
        <v>348</v>
      </c>
      <c r="D16" s="1">
        <v>19943</v>
      </c>
      <c r="E16" t="s">
        <v>351</v>
      </c>
      <c r="F16" s="1">
        <v>19943</v>
      </c>
    </row>
    <row r="17" spans="1:6" ht="12">
      <c r="A17" t="s">
        <v>279</v>
      </c>
      <c r="B17" t="s">
        <v>96</v>
      </c>
      <c r="D17" s="1">
        <v>1000</v>
      </c>
      <c r="E17" t="s">
        <v>351</v>
      </c>
      <c r="F17" s="1">
        <v>1000</v>
      </c>
    </row>
    <row r="18" spans="1:6" ht="12">
      <c r="A18" t="s">
        <v>280</v>
      </c>
      <c r="B18" t="s">
        <v>349</v>
      </c>
      <c r="D18" s="1">
        <v>11337</v>
      </c>
      <c r="E18" t="s">
        <v>351</v>
      </c>
      <c r="F18" s="1">
        <v>11337</v>
      </c>
    </row>
    <row r="19" spans="1:6" ht="12">
      <c r="A19" t="s">
        <v>281</v>
      </c>
      <c r="B19" t="s">
        <v>46</v>
      </c>
      <c r="D19" s="1">
        <v>11047</v>
      </c>
      <c r="E19" t="s">
        <v>351</v>
      </c>
      <c r="F19" s="1">
        <v>11047</v>
      </c>
    </row>
    <row r="20" spans="1:6" ht="12">
      <c r="A20" t="s">
        <v>282</v>
      </c>
      <c r="B20" t="s">
        <v>76</v>
      </c>
      <c r="D20" s="1">
        <v>3693</v>
      </c>
      <c r="E20" t="s">
        <v>351</v>
      </c>
      <c r="F20" s="1">
        <v>3693</v>
      </c>
    </row>
    <row r="21" spans="1:6" ht="12">
      <c r="A21" t="s">
        <v>283</v>
      </c>
      <c r="B21" t="s">
        <v>77</v>
      </c>
      <c r="D21" s="1">
        <v>200</v>
      </c>
      <c r="E21" t="s">
        <v>351</v>
      </c>
      <c r="F21" s="1">
        <v>200</v>
      </c>
    </row>
    <row r="22" spans="1:4" ht="12">
      <c r="A22" t="s">
        <v>284</v>
      </c>
      <c r="B22" t="s">
        <v>78</v>
      </c>
      <c r="D22" s="1">
        <v>500</v>
      </c>
    </row>
    <row r="23" spans="1:4" ht="12">
      <c r="A23" t="s">
        <v>285</v>
      </c>
      <c r="B23" t="s">
        <v>51</v>
      </c>
      <c r="D23" s="1">
        <v>1000</v>
      </c>
    </row>
    <row r="24" spans="1:4" ht="12">
      <c r="A24" t="s">
        <v>286</v>
      </c>
      <c r="B24" t="s">
        <v>166</v>
      </c>
      <c r="D24" s="1">
        <v>2000</v>
      </c>
    </row>
    <row r="25" spans="1:6" ht="12">
      <c r="A25" t="s">
        <v>287</v>
      </c>
      <c r="B25" t="s">
        <v>201</v>
      </c>
      <c r="D25" s="1">
        <v>263</v>
      </c>
      <c r="E25" t="s">
        <v>351</v>
      </c>
      <c r="F25" s="1">
        <v>263</v>
      </c>
    </row>
    <row r="26" spans="1:4" ht="12">
      <c r="A26" t="s">
        <v>288</v>
      </c>
      <c r="B26" t="s">
        <v>53</v>
      </c>
      <c r="D26" s="1">
        <v>3000</v>
      </c>
    </row>
    <row r="27" spans="1:4" ht="12">
      <c r="A27" t="s">
        <v>289</v>
      </c>
      <c r="B27" t="s">
        <v>59</v>
      </c>
      <c r="D27" s="1">
        <v>550</v>
      </c>
    </row>
    <row r="28" spans="1:4" ht="12">
      <c r="A28" t="s">
        <v>290</v>
      </c>
      <c r="B28" t="s">
        <v>61</v>
      </c>
      <c r="D28" s="1">
        <v>1000</v>
      </c>
    </row>
    <row r="29" spans="1:4" ht="12">
      <c r="A29" t="s">
        <v>291</v>
      </c>
      <c r="B29" t="s">
        <v>292</v>
      </c>
      <c r="D29" s="1">
        <v>1237</v>
      </c>
    </row>
    <row r="30" spans="1:4" ht="12">
      <c r="A30" t="s">
        <v>293</v>
      </c>
      <c r="B30" t="s">
        <v>294</v>
      </c>
      <c r="D30" s="1">
        <v>37400</v>
      </c>
    </row>
    <row r="31" spans="1:4" ht="12">
      <c r="A31" t="s">
        <v>295</v>
      </c>
      <c r="B31" t="s">
        <v>151</v>
      </c>
      <c r="D31" s="1">
        <v>5000</v>
      </c>
    </row>
    <row r="32" spans="1:6" ht="13.5">
      <c r="A32" t="s">
        <v>296</v>
      </c>
      <c r="B32" t="s">
        <v>297</v>
      </c>
      <c r="D32" s="2">
        <v>19200</v>
      </c>
      <c r="F32" s="2">
        <v>0</v>
      </c>
    </row>
    <row r="33" spans="4:7" ht="12">
      <c r="D33" s="1">
        <f>SUM(D14:D32)</f>
        <v>133855</v>
      </c>
      <c r="F33" s="1">
        <f>SUM(F14:F32)</f>
        <v>58490</v>
      </c>
      <c r="G33" t="s">
        <v>352</v>
      </c>
    </row>
    <row r="35" spans="1:2" ht="12">
      <c r="A35" s="10" t="s">
        <v>351</v>
      </c>
      <c r="B35" t="s">
        <v>353</v>
      </c>
    </row>
    <row r="36" spans="1:2" ht="12">
      <c r="A36" s="10" t="s">
        <v>352</v>
      </c>
      <c r="B36" t="s">
        <v>354</v>
      </c>
    </row>
    <row r="38" spans="2:5" ht="12">
      <c r="B38" t="s">
        <v>355</v>
      </c>
      <c r="D38" s="9">
        <f>F33/19451</f>
        <v>3.007043339674053</v>
      </c>
      <c r="E38" t="s">
        <v>356</v>
      </c>
    </row>
    <row r="41" ht="12.75">
      <c r="B41" s="13" t="s">
        <v>357</v>
      </c>
    </row>
    <row r="44" spans="1:6" ht="12">
      <c r="A44" t="s">
        <v>359</v>
      </c>
      <c r="F44" s="9">
        <f>D33-F33</f>
        <v>75365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39" sqref="B39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30.8515625" style="0" customWidth="1"/>
    <col min="4" max="4" width="12.7109375" style="0" customWidth="1"/>
    <col min="5" max="5" width="8.8515625" style="0" customWidth="1"/>
    <col min="6" max="6" width="12.7109375" style="0" customWidth="1"/>
    <col min="7" max="7" width="2.7109375" style="0" customWidth="1"/>
  </cols>
  <sheetData>
    <row r="1" spans="1:7" ht="12">
      <c r="A1" s="304" t="s">
        <v>298</v>
      </c>
      <c r="B1" s="304"/>
      <c r="C1" s="304"/>
      <c r="D1" s="304"/>
      <c r="E1" s="304"/>
      <c r="F1" s="304"/>
      <c r="G1" s="304"/>
    </row>
    <row r="2" spans="1:7" ht="12">
      <c r="A2" s="304">
        <v>2000</v>
      </c>
      <c r="B2" s="304"/>
      <c r="C2" s="304"/>
      <c r="D2" s="304"/>
      <c r="E2" s="304"/>
      <c r="F2" s="304"/>
      <c r="G2" s="304"/>
    </row>
    <row r="5" ht="12">
      <c r="A5" t="s">
        <v>255</v>
      </c>
    </row>
    <row r="6" ht="12">
      <c r="D6" s="11"/>
    </row>
    <row r="7" spans="1:4" ht="12">
      <c r="A7" t="s">
        <v>19</v>
      </c>
      <c r="B7" t="s">
        <v>20</v>
      </c>
      <c r="D7" s="11">
        <v>800</v>
      </c>
    </row>
    <row r="8" spans="1:4" ht="12">
      <c r="A8" t="s">
        <v>272</v>
      </c>
      <c r="B8" t="s">
        <v>273</v>
      </c>
      <c r="D8" s="11">
        <f>130973+472+1510</f>
        <v>132955</v>
      </c>
    </row>
    <row r="9" spans="1:4" ht="13.5">
      <c r="A9" t="s">
        <v>274</v>
      </c>
      <c r="B9" t="s">
        <v>275</v>
      </c>
      <c r="D9" s="2">
        <v>100</v>
      </c>
    </row>
    <row r="10" ht="12">
      <c r="D10" s="11">
        <f>SUM(D7:D9)</f>
        <v>133855</v>
      </c>
    </row>
    <row r="12" spans="1:6" ht="12">
      <c r="A12" t="s">
        <v>256</v>
      </c>
      <c r="D12" s="9"/>
      <c r="F12" s="10" t="s">
        <v>358</v>
      </c>
    </row>
    <row r="14" spans="1:4" ht="12">
      <c r="A14" t="s">
        <v>276</v>
      </c>
      <c r="B14" t="s">
        <v>346</v>
      </c>
      <c r="D14" s="11">
        <v>4478</v>
      </c>
    </row>
    <row r="15" spans="1:6" ht="12">
      <c r="A15" t="s">
        <v>277</v>
      </c>
      <c r="B15" t="s">
        <v>187</v>
      </c>
      <c r="D15" s="12">
        <v>11007</v>
      </c>
      <c r="E15" t="s">
        <v>351</v>
      </c>
      <c r="F15" s="12">
        <v>11007</v>
      </c>
    </row>
    <row r="16" spans="1:6" ht="12">
      <c r="A16" t="s">
        <v>278</v>
      </c>
      <c r="B16" t="s">
        <v>348</v>
      </c>
      <c r="D16" s="12">
        <v>19943</v>
      </c>
      <c r="E16" t="s">
        <v>351</v>
      </c>
      <c r="F16" s="12">
        <v>19943</v>
      </c>
    </row>
    <row r="17" spans="1:6" ht="12">
      <c r="A17" t="s">
        <v>279</v>
      </c>
      <c r="B17" t="s">
        <v>96</v>
      </c>
      <c r="D17" s="12">
        <v>1000</v>
      </c>
      <c r="E17" t="s">
        <v>351</v>
      </c>
      <c r="F17" s="12">
        <v>1000</v>
      </c>
    </row>
    <row r="18" spans="1:6" ht="12">
      <c r="A18" t="s">
        <v>280</v>
      </c>
      <c r="B18" t="s">
        <v>349</v>
      </c>
      <c r="D18" s="12">
        <v>11337</v>
      </c>
      <c r="F18" s="12"/>
    </row>
    <row r="19" spans="1:6" ht="12">
      <c r="A19" t="s">
        <v>281</v>
      </c>
      <c r="B19" t="s">
        <v>46</v>
      </c>
      <c r="D19" s="12">
        <v>11047</v>
      </c>
      <c r="E19" t="s">
        <v>351</v>
      </c>
      <c r="F19" s="12">
        <f>11047-3242</f>
        <v>7805</v>
      </c>
    </row>
    <row r="20" spans="1:6" ht="12">
      <c r="A20" t="s">
        <v>282</v>
      </c>
      <c r="B20" t="s">
        <v>76</v>
      </c>
      <c r="D20" s="12">
        <v>3693</v>
      </c>
      <c r="E20" t="s">
        <v>351</v>
      </c>
      <c r="F20" s="12">
        <f>3693-868</f>
        <v>2825</v>
      </c>
    </row>
    <row r="21" spans="1:6" ht="12">
      <c r="A21" t="s">
        <v>283</v>
      </c>
      <c r="B21" t="s">
        <v>77</v>
      </c>
      <c r="D21" s="12">
        <v>200</v>
      </c>
      <c r="E21" t="s">
        <v>351</v>
      </c>
      <c r="F21" s="12">
        <v>200</v>
      </c>
    </row>
    <row r="22" spans="1:4" ht="12">
      <c r="A22" t="s">
        <v>284</v>
      </c>
      <c r="B22" t="s">
        <v>78</v>
      </c>
      <c r="D22" s="12">
        <v>500</v>
      </c>
    </row>
    <row r="23" spans="1:4" ht="12">
      <c r="A23" t="s">
        <v>285</v>
      </c>
      <c r="B23" t="s">
        <v>51</v>
      </c>
      <c r="D23" s="12">
        <v>1000</v>
      </c>
    </row>
    <row r="24" spans="1:4" ht="12">
      <c r="A24" t="s">
        <v>286</v>
      </c>
      <c r="B24" t="s">
        <v>166</v>
      </c>
      <c r="D24" s="12">
        <v>2000</v>
      </c>
    </row>
    <row r="25" spans="1:6" ht="12">
      <c r="A25" t="s">
        <v>287</v>
      </c>
      <c r="B25" t="s">
        <v>201</v>
      </c>
      <c r="D25" s="12">
        <v>263</v>
      </c>
      <c r="E25" t="s">
        <v>351</v>
      </c>
      <c r="F25" s="12">
        <f>263-88</f>
        <v>175</v>
      </c>
    </row>
    <row r="26" spans="1:4" ht="12">
      <c r="A26" t="s">
        <v>288</v>
      </c>
      <c r="B26" t="s">
        <v>53</v>
      </c>
      <c r="D26" s="12">
        <v>3000</v>
      </c>
    </row>
    <row r="27" spans="1:4" ht="12">
      <c r="A27" t="s">
        <v>289</v>
      </c>
      <c r="B27" t="s">
        <v>59</v>
      </c>
      <c r="D27" s="12">
        <v>550</v>
      </c>
    </row>
    <row r="28" spans="1:4" ht="12">
      <c r="A28" t="s">
        <v>290</v>
      </c>
      <c r="B28" t="s">
        <v>61</v>
      </c>
      <c r="D28" s="12">
        <v>1000</v>
      </c>
    </row>
    <row r="29" spans="1:4" ht="12">
      <c r="A29" t="s">
        <v>291</v>
      </c>
      <c r="B29" t="s">
        <v>292</v>
      </c>
      <c r="D29" s="12">
        <v>1237</v>
      </c>
    </row>
    <row r="30" spans="1:4" ht="12">
      <c r="A30" t="s">
        <v>293</v>
      </c>
      <c r="B30" t="s">
        <v>294</v>
      </c>
      <c r="D30" s="12">
        <v>37400</v>
      </c>
    </row>
    <row r="31" spans="1:4" ht="12">
      <c r="A31" t="s">
        <v>295</v>
      </c>
      <c r="B31" t="s">
        <v>151</v>
      </c>
      <c r="D31" s="12">
        <v>5000</v>
      </c>
    </row>
    <row r="32" spans="1:6" ht="13.5">
      <c r="A32" t="s">
        <v>296</v>
      </c>
      <c r="B32" t="s">
        <v>297</v>
      </c>
      <c r="D32" s="2">
        <v>19200</v>
      </c>
      <c r="F32" s="2">
        <v>0</v>
      </c>
    </row>
    <row r="33" spans="4:7" ht="12">
      <c r="D33" s="11">
        <f>SUM(D14:D32)</f>
        <v>133855</v>
      </c>
      <c r="F33" s="11">
        <f>SUM(F14:F32)</f>
        <v>42955</v>
      </c>
      <c r="G33" t="s">
        <v>352</v>
      </c>
    </row>
    <row r="35" spans="1:2" ht="12">
      <c r="A35" s="10" t="s">
        <v>351</v>
      </c>
      <c r="B35" t="s">
        <v>353</v>
      </c>
    </row>
    <row r="36" spans="1:2" ht="12">
      <c r="A36" s="10" t="s">
        <v>352</v>
      </c>
      <c r="B36" t="s">
        <v>354</v>
      </c>
    </row>
    <row r="38" spans="2:5" ht="12">
      <c r="B38" t="s">
        <v>361</v>
      </c>
      <c r="D38" s="9">
        <f>F33/19451</f>
        <v>2.2083697496272685</v>
      </c>
      <c r="E38" t="s">
        <v>356</v>
      </c>
    </row>
    <row r="41" ht="12.75">
      <c r="B41" s="13" t="s">
        <v>360</v>
      </c>
    </row>
    <row r="44" spans="1:6" ht="12">
      <c r="A44" t="s">
        <v>359</v>
      </c>
      <c r="F44" s="9">
        <f>D33-F33</f>
        <v>90900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B118" sqref="B118"/>
    </sheetView>
  </sheetViews>
  <sheetFormatPr defaultColWidth="8.8515625" defaultRowHeight="12.75"/>
  <cols>
    <col min="1" max="3" width="8.8515625" style="0" customWidth="1"/>
    <col min="4" max="4" width="12.7109375" style="1" customWidth="1"/>
    <col min="5" max="5" width="3.28125" style="0" customWidth="1"/>
    <col min="6" max="6" width="8.8515625" style="0" customWidth="1"/>
    <col min="7" max="7" width="12.7109375" style="0" customWidth="1"/>
    <col min="8" max="8" width="9.00390625" style="0" customWidth="1"/>
  </cols>
  <sheetData>
    <row r="1" spans="1:9" ht="12.75">
      <c r="A1" s="305" t="s">
        <v>364</v>
      </c>
      <c r="B1" s="305"/>
      <c r="C1" s="305"/>
      <c r="D1" s="305"/>
      <c r="E1" s="305"/>
      <c r="F1" s="305"/>
      <c r="G1" s="305"/>
      <c r="H1" s="305"/>
      <c r="I1" s="305"/>
    </row>
    <row r="4" spans="1:9" ht="12">
      <c r="A4" s="304" t="s">
        <v>343</v>
      </c>
      <c r="B4" s="304"/>
      <c r="C4" s="304"/>
      <c r="D4" s="304"/>
      <c r="E4" s="304"/>
      <c r="F4" s="304"/>
      <c r="G4" s="304"/>
      <c r="H4" s="304"/>
      <c r="I4" s="304"/>
    </row>
    <row r="6" spans="1:6" ht="12">
      <c r="A6" t="s">
        <v>363</v>
      </c>
      <c r="D6" s="1">
        <v>38000</v>
      </c>
      <c r="F6" t="s">
        <v>385</v>
      </c>
    </row>
    <row r="7" spans="1:4" ht="13.5">
      <c r="A7" t="s">
        <v>362</v>
      </c>
      <c r="D7" s="2">
        <v>-28000</v>
      </c>
    </row>
    <row r="8" ht="12">
      <c r="D8" s="1">
        <f>D6+D7</f>
        <v>10000</v>
      </c>
    </row>
    <row r="11" spans="1:9" ht="12">
      <c r="A11" s="304" t="s">
        <v>342</v>
      </c>
      <c r="B11" s="304"/>
      <c r="C11" s="304"/>
      <c r="D11" s="304"/>
      <c r="E11" s="304"/>
      <c r="F11" s="304"/>
      <c r="G11" s="304"/>
      <c r="H11" s="304"/>
      <c r="I11" s="304"/>
    </row>
    <row r="13" spans="1:4" ht="12">
      <c r="A13" t="s">
        <v>365</v>
      </c>
      <c r="D13" s="1">
        <v>38000</v>
      </c>
    </row>
    <row r="14" spans="1:4" ht="13.5">
      <c r="A14" t="s">
        <v>366</v>
      </c>
      <c r="D14" s="2">
        <v>-15000</v>
      </c>
    </row>
    <row r="15" ht="12">
      <c r="D15" s="1">
        <f>D13+D14</f>
        <v>23000</v>
      </c>
    </row>
    <row r="18" ht="12">
      <c r="A18" t="s">
        <v>367</v>
      </c>
    </row>
    <row r="19" ht="12">
      <c r="A19" t="s">
        <v>368</v>
      </c>
    </row>
    <row r="20" ht="12">
      <c r="A20" t="s">
        <v>369</v>
      </c>
    </row>
    <row r="21" spans="1:4" ht="14.25">
      <c r="A21" t="s">
        <v>370</v>
      </c>
      <c r="D21" s="14">
        <f>D8+D15</f>
        <v>33000</v>
      </c>
    </row>
    <row r="52" spans="1:9" ht="12.75">
      <c r="A52" s="305" t="s">
        <v>371</v>
      </c>
      <c r="B52" s="305"/>
      <c r="C52" s="305"/>
      <c r="D52" s="305"/>
      <c r="E52" s="305"/>
      <c r="F52" s="305"/>
      <c r="G52" s="305"/>
      <c r="H52" s="305"/>
      <c r="I52" s="305"/>
    </row>
    <row r="55" spans="1:7" ht="12">
      <c r="A55" t="s">
        <v>372</v>
      </c>
      <c r="G55" s="1">
        <v>19000</v>
      </c>
    </row>
    <row r="56" spans="1:7" ht="12">
      <c r="A56" t="s">
        <v>373</v>
      </c>
      <c r="G56" s="1">
        <v>12000</v>
      </c>
    </row>
    <row r="57" spans="1:7" ht="12">
      <c r="A57" t="s">
        <v>384</v>
      </c>
      <c r="G57" s="1">
        <v>11000</v>
      </c>
    </row>
    <row r="58" spans="1:7" ht="13.5">
      <c r="A58" t="s">
        <v>383</v>
      </c>
      <c r="G58" s="2">
        <v>15150</v>
      </c>
    </row>
    <row r="59" ht="12">
      <c r="G59" s="1">
        <f>SUM(G55:G58)</f>
        <v>57150</v>
      </c>
    </row>
    <row r="60" spans="1:7" ht="13.5">
      <c r="A60" t="s">
        <v>382</v>
      </c>
      <c r="G60" s="2">
        <v>-43000</v>
      </c>
    </row>
    <row r="61" ht="12">
      <c r="G61" s="1">
        <f>G59+G60</f>
        <v>14150</v>
      </c>
    </row>
    <row r="62" ht="12">
      <c r="G62" s="1"/>
    </row>
    <row r="63" ht="12">
      <c r="G63" s="1"/>
    </row>
    <row r="64" ht="12">
      <c r="G64" s="1"/>
    </row>
    <row r="65" ht="12">
      <c r="G65" s="1"/>
    </row>
    <row r="66" ht="12">
      <c r="G66" s="1"/>
    </row>
    <row r="67" spans="1:7" ht="12">
      <c r="A67" t="s">
        <v>378</v>
      </c>
      <c r="B67" t="s">
        <v>374</v>
      </c>
      <c r="G67" s="1">
        <v>70150</v>
      </c>
    </row>
    <row r="68" spans="2:7" ht="13.5">
      <c r="B68" t="s">
        <v>375</v>
      </c>
      <c r="G68" s="2">
        <v>20000</v>
      </c>
    </row>
    <row r="69" ht="12">
      <c r="G69" s="1">
        <f>SUM(G67:G68)</f>
        <v>90150</v>
      </c>
    </row>
    <row r="70" spans="2:7" ht="13.5">
      <c r="B70" t="s">
        <v>376</v>
      </c>
      <c r="G70" s="2">
        <v>-75000</v>
      </c>
    </row>
    <row r="71" spans="2:7" ht="12">
      <c r="B71" t="s">
        <v>377</v>
      </c>
      <c r="G71" s="9">
        <f>G69+G70</f>
        <v>15150</v>
      </c>
    </row>
    <row r="74" spans="1:2" ht="12">
      <c r="A74" t="s">
        <v>379</v>
      </c>
      <c r="B74" t="s">
        <v>380</v>
      </c>
    </row>
    <row r="75" ht="12">
      <c r="B75" t="s">
        <v>381</v>
      </c>
    </row>
    <row r="103" spans="1:9" ht="12.75">
      <c r="A103" s="305" t="s">
        <v>386</v>
      </c>
      <c r="B103" s="305"/>
      <c r="C103" s="305"/>
      <c r="D103" s="305"/>
      <c r="E103" s="305"/>
      <c r="F103" s="305"/>
      <c r="G103" s="305"/>
      <c r="H103" s="305"/>
      <c r="I103" s="305"/>
    </row>
    <row r="106" spans="1:7" ht="12">
      <c r="A106" t="s">
        <v>387</v>
      </c>
      <c r="G106" s="1">
        <v>134000</v>
      </c>
    </row>
    <row r="107" spans="1:7" ht="13.5">
      <c r="A107" t="s">
        <v>388</v>
      </c>
      <c r="G107" s="2">
        <v>-72000</v>
      </c>
    </row>
    <row r="108" spans="1:7" ht="12">
      <c r="A108" t="s">
        <v>389</v>
      </c>
      <c r="G108" s="1">
        <f>G106+G107</f>
        <v>62000</v>
      </c>
    </row>
    <row r="109" ht="12">
      <c r="G109" s="1"/>
    </row>
    <row r="110" ht="12">
      <c r="G110" s="1"/>
    </row>
    <row r="111" spans="1:7" ht="12">
      <c r="A111" t="s">
        <v>390</v>
      </c>
      <c r="G111" s="1">
        <f>293043/3</f>
        <v>97681</v>
      </c>
    </row>
    <row r="112" spans="1:7" ht="13.5">
      <c r="A112" t="s">
        <v>389</v>
      </c>
      <c r="G112" s="2">
        <v>-62000</v>
      </c>
    </row>
    <row r="113" spans="1:7" ht="12">
      <c r="A113" t="s">
        <v>391</v>
      </c>
      <c r="G113" s="1">
        <f>G111+G112</f>
        <v>35681</v>
      </c>
    </row>
    <row r="114" ht="12">
      <c r="G114" s="1"/>
    </row>
    <row r="115" spans="1:7" ht="12">
      <c r="A115" t="s">
        <v>392</v>
      </c>
      <c r="G115" s="1">
        <v>72000</v>
      </c>
    </row>
    <row r="116" ht="12">
      <c r="G116" s="1"/>
    </row>
    <row r="117" spans="2:7" ht="12">
      <c r="B117" t="s">
        <v>393</v>
      </c>
      <c r="G117" s="1">
        <f>G113/G115</f>
        <v>0.49556944444444445</v>
      </c>
    </row>
    <row r="118" ht="12">
      <c r="G118" s="1"/>
    </row>
    <row r="119" ht="12">
      <c r="G119" s="1"/>
    </row>
    <row r="120" ht="12">
      <c r="G120" s="1"/>
    </row>
    <row r="121" ht="12">
      <c r="G121" s="1"/>
    </row>
  </sheetData>
  <sheetProtection/>
  <mergeCells count="5">
    <mergeCell ref="A103:I103"/>
    <mergeCell ref="A1:I1"/>
    <mergeCell ref="A4:I4"/>
    <mergeCell ref="A11:I11"/>
    <mergeCell ref="A52:I52"/>
  </mergeCells>
  <printOptions horizontalCentered="1"/>
  <pageMargins left="0.75" right="0.75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50" sqref="F50"/>
    </sheetView>
  </sheetViews>
  <sheetFormatPr defaultColWidth="8.8515625" defaultRowHeight="12.75"/>
  <cols>
    <col min="1" max="1" width="11.7109375" style="0" customWidth="1"/>
    <col min="2" max="2" width="27.7109375" style="0" customWidth="1"/>
    <col min="3" max="6" width="12.7109375" style="0" customWidth="1"/>
  </cols>
  <sheetData>
    <row r="1" spans="1:6" ht="18">
      <c r="A1" s="306" t="s">
        <v>446</v>
      </c>
      <c r="B1" s="306"/>
      <c r="C1" s="306"/>
      <c r="D1" s="306"/>
      <c r="E1" s="306"/>
      <c r="F1" s="306"/>
    </row>
    <row r="2" spans="3:6" ht="12">
      <c r="C2" s="10"/>
      <c r="D2" s="1"/>
      <c r="E2" s="1"/>
      <c r="F2" s="19"/>
    </row>
    <row r="3" spans="3:6" ht="12.75" thickBot="1">
      <c r="C3" s="10"/>
      <c r="D3" s="33"/>
      <c r="E3" s="33"/>
      <c r="F3" s="19"/>
    </row>
    <row r="4" spans="1:6" ht="13.5">
      <c r="A4" t="s">
        <v>119</v>
      </c>
      <c r="B4" t="s">
        <v>331</v>
      </c>
      <c r="C4" s="10"/>
      <c r="D4" s="22" t="s">
        <v>420</v>
      </c>
      <c r="E4" s="56" t="s">
        <v>428</v>
      </c>
      <c r="F4" s="37" t="s">
        <v>429</v>
      </c>
    </row>
    <row r="5" spans="3:6" ht="12">
      <c r="C5" s="10"/>
      <c r="D5" s="1"/>
      <c r="E5" s="57"/>
      <c r="F5" s="19"/>
    </row>
    <row r="6" spans="1:6" ht="12">
      <c r="A6" t="s">
        <v>120</v>
      </c>
      <c r="B6" t="s">
        <v>121</v>
      </c>
      <c r="C6" s="30"/>
      <c r="D6" s="7">
        <v>41007</v>
      </c>
      <c r="E6" s="64">
        <v>42442</v>
      </c>
      <c r="F6" s="39">
        <f aca="true" t="shared" si="0" ref="F6:F36">E6-D6</f>
        <v>1435</v>
      </c>
    </row>
    <row r="7" spans="1:6" ht="12">
      <c r="A7" t="s">
        <v>122</v>
      </c>
      <c r="B7" t="s">
        <v>345</v>
      </c>
      <c r="C7" s="10"/>
      <c r="D7" s="7">
        <v>37429</v>
      </c>
      <c r="E7" s="64">
        <v>38552</v>
      </c>
      <c r="F7" s="39">
        <f t="shared" si="0"/>
        <v>1123</v>
      </c>
    </row>
    <row r="8" spans="1:6" ht="12">
      <c r="A8" t="s">
        <v>434</v>
      </c>
      <c r="B8" t="s">
        <v>435</v>
      </c>
      <c r="C8" s="10"/>
      <c r="D8" s="7">
        <v>0</v>
      </c>
      <c r="E8" s="64">
        <v>25650</v>
      </c>
      <c r="F8" s="39">
        <f>E8-D8</f>
        <v>25650</v>
      </c>
    </row>
    <row r="9" spans="1:6" ht="12">
      <c r="A9" t="s">
        <v>123</v>
      </c>
      <c r="B9" t="s">
        <v>96</v>
      </c>
      <c r="C9" s="10"/>
      <c r="D9" s="55">
        <f>ROUND(4726*10.25,0)+1882</f>
        <v>50324</v>
      </c>
      <c r="E9" s="67">
        <f>52712-21840</f>
        <v>30872</v>
      </c>
      <c r="F9" s="39">
        <f t="shared" si="0"/>
        <v>-19452</v>
      </c>
    </row>
    <row r="10" spans="1:6" ht="12">
      <c r="A10" t="s">
        <v>124</v>
      </c>
      <c r="B10" t="s">
        <v>426</v>
      </c>
      <c r="C10" s="10"/>
      <c r="D10" s="55">
        <v>9940</v>
      </c>
      <c r="E10" s="64">
        <f>10884+7140</f>
        <v>18024</v>
      </c>
      <c r="F10" s="39">
        <f t="shared" si="0"/>
        <v>8084</v>
      </c>
    </row>
    <row r="11" spans="1:6" ht="12">
      <c r="A11" t="s">
        <v>125</v>
      </c>
      <c r="B11" t="s">
        <v>75</v>
      </c>
      <c r="C11" s="10"/>
      <c r="D11" s="55">
        <v>6690</v>
      </c>
      <c r="E11" s="64">
        <f>6866+3433</f>
        <v>10299</v>
      </c>
      <c r="F11" s="39">
        <f t="shared" si="0"/>
        <v>3609</v>
      </c>
    </row>
    <row r="12" spans="1:6" ht="12">
      <c r="A12" t="s">
        <v>126</v>
      </c>
      <c r="B12" t="s">
        <v>49</v>
      </c>
      <c r="C12" s="30"/>
      <c r="D12" s="55">
        <f>ROUND((D6+D7+D9+D14+D15+D16+D18+D19+D17)*0.0765,0)</f>
        <v>11461</v>
      </c>
      <c r="E12" s="64">
        <f>ROUND((E6+E7+E8+E9+E14+E15+E16+E18+E19+E17)*0.0765,0)</f>
        <v>12356</v>
      </c>
      <c r="F12" s="39">
        <f t="shared" si="0"/>
        <v>895</v>
      </c>
    </row>
    <row r="13" spans="1:6" ht="12">
      <c r="A13" t="s">
        <v>127</v>
      </c>
      <c r="B13" t="s">
        <v>99</v>
      </c>
      <c r="C13" s="10"/>
      <c r="D13" s="55">
        <f>ROUND((8000+8000+D9+D14+D18+D19)*0.015,0)</f>
        <v>1060</v>
      </c>
      <c r="E13" s="64">
        <f>ROUND((8000+8000+8000+E9+E14+E18+E19)*0.03,0)+415</f>
        <v>2192</v>
      </c>
      <c r="F13" s="39">
        <f>E13-D13</f>
        <v>1132</v>
      </c>
    </row>
    <row r="14" spans="1:6" ht="12">
      <c r="A14" t="s">
        <v>128</v>
      </c>
      <c r="B14" t="s">
        <v>129</v>
      </c>
      <c r="C14" s="10"/>
      <c r="D14" s="7">
        <v>800</v>
      </c>
      <c r="E14" s="58">
        <v>800</v>
      </c>
      <c r="F14" s="39">
        <f t="shared" si="0"/>
        <v>0</v>
      </c>
    </row>
    <row r="15" spans="1:6" ht="12">
      <c r="A15" t="s">
        <v>405</v>
      </c>
      <c r="B15" t="s">
        <v>404</v>
      </c>
      <c r="C15" s="10"/>
      <c r="D15" s="7">
        <v>976</v>
      </c>
      <c r="E15" s="64">
        <v>1581</v>
      </c>
      <c r="F15" s="39">
        <f t="shared" si="0"/>
        <v>605</v>
      </c>
    </row>
    <row r="16" spans="1:6" ht="12">
      <c r="A16" t="s">
        <v>130</v>
      </c>
      <c r="B16" t="s">
        <v>131</v>
      </c>
      <c r="C16" s="10"/>
      <c r="D16" s="7">
        <v>3600</v>
      </c>
      <c r="E16" s="58">
        <v>3600</v>
      </c>
      <c r="F16" s="39">
        <f t="shared" si="0"/>
        <v>0</v>
      </c>
    </row>
    <row r="17" spans="1:6" ht="12">
      <c r="A17" t="s">
        <v>421</v>
      </c>
      <c r="B17" t="s">
        <v>409</v>
      </c>
      <c r="C17" s="10"/>
      <c r="D17" s="7">
        <f>11565+566</f>
        <v>12131</v>
      </c>
      <c r="E17" s="64">
        <f>11565+566+2336</f>
        <v>14467</v>
      </c>
      <c r="F17" s="39">
        <f>E17-D17</f>
        <v>2336</v>
      </c>
    </row>
    <row r="18" spans="1:6" ht="12">
      <c r="A18" t="s">
        <v>132</v>
      </c>
      <c r="B18" t="s">
        <v>133</v>
      </c>
      <c r="C18" s="10"/>
      <c r="D18" s="7">
        <v>2000</v>
      </c>
      <c r="E18" s="58">
        <v>2000</v>
      </c>
      <c r="F18" s="39">
        <f t="shared" si="0"/>
        <v>0</v>
      </c>
    </row>
    <row r="19" spans="1:6" ht="12">
      <c r="A19" t="s">
        <v>134</v>
      </c>
      <c r="B19" t="s">
        <v>135</v>
      </c>
      <c r="C19" s="10"/>
      <c r="D19" s="7">
        <v>1550</v>
      </c>
      <c r="E19" s="58">
        <v>1550</v>
      </c>
      <c r="F19" s="39">
        <f t="shared" si="0"/>
        <v>0</v>
      </c>
    </row>
    <row r="20" spans="1:6" ht="12">
      <c r="A20" t="s">
        <v>136</v>
      </c>
      <c r="B20" t="s">
        <v>51</v>
      </c>
      <c r="C20" s="10"/>
      <c r="D20" s="7">
        <v>450</v>
      </c>
      <c r="E20" s="58">
        <v>450</v>
      </c>
      <c r="F20" s="39">
        <f t="shared" si="0"/>
        <v>0</v>
      </c>
    </row>
    <row r="21" spans="1:6" ht="12">
      <c r="A21" t="s">
        <v>137</v>
      </c>
      <c r="B21" t="s">
        <v>101</v>
      </c>
      <c r="C21" s="10"/>
      <c r="D21" s="7">
        <v>400</v>
      </c>
      <c r="E21" s="58">
        <v>400</v>
      </c>
      <c r="F21" s="39">
        <f t="shared" si="0"/>
        <v>0</v>
      </c>
    </row>
    <row r="22" spans="1:6" ht="12">
      <c r="A22" t="s">
        <v>138</v>
      </c>
      <c r="B22" t="s">
        <v>139</v>
      </c>
      <c r="C22" s="10"/>
      <c r="D22" s="7">
        <v>6500</v>
      </c>
      <c r="E22" s="64">
        <v>8500</v>
      </c>
      <c r="F22" s="39">
        <f t="shared" si="0"/>
        <v>2000</v>
      </c>
    </row>
    <row r="23" spans="1:6" ht="12">
      <c r="A23" t="s">
        <v>140</v>
      </c>
      <c r="B23" t="s">
        <v>141</v>
      </c>
      <c r="C23" s="10"/>
      <c r="D23" s="7">
        <v>2600</v>
      </c>
      <c r="E23" s="64">
        <f>2600+600-100</f>
        <v>3100</v>
      </c>
      <c r="F23" s="39">
        <f t="shared" si="0"/>
        <v>500</v>
      </c>
    </row>
    <row r="24" spans="1:6" ht="12">
      <c r="A24" t="s">
        <v>142</v>
      </c>
      <c r="B24" t="s">
        <v>143</v>
      </c>
      <c r="C24" s="10"/>
      <c r="D24" s="7">
        <v>1500</v>
      </c>
      <c r="E24" s="58">
        <v>1500</v>
      </c>
      <c r="F24" s="39">
        <f t="shared" si="0"/>
        <v>0</v>
      </c>
    </row>
    <row r="25" spans="1:6" ht="12">
      <c r="A25" t="s">
        <v>144</v>
      </c>
      <c r="B25" t="s">
        <v>53</v>
      </c>
      <c r="C25" s="10"/>
      <c r="D25" s="7">
        <v>500</v>
      </c>
      <c r="E25" s="64">
        <f>500+200</f>
        <v>700</v>
      </c>
      <c r="F25" s="39">
        <f t="shared" si="0"/>
        <v>200</v>
      </c>
    </row>
    <row r="26" spans="1:6" ht="12">
      <c r="A26" t="s">
        <v>145</v>
      </c>
      <c r="B26" t="s">
        <v>79</v>
      </c>
      <c r="C26" s="10"/>
      <c r="D26" s="7">
        <v>2000</v>
      </c>
      <c r="E26" s="58">
        <v>2000</v>
      </c>
      <c r="F26" s="39">
        <f t="shared" si="0"/>
        <v>0</v>
      </c>
    </row>
    <row r="27" spans="1:6" ht="12">
      <c r="A27" t="s">
        <v>146</v>
      </c>
      <c r="B27" t="s">
        <v>59</v>
      </c>
      <c r="C27" s="10"/>
      <c r="D27" s="7">
        <f>3000-150-150</f>
        <v>2700</v>
      </c>
      <c r="E27" s="58">
        <f>3000-150-150</f>
        <v>2700</v>
      </c>
      <c r="F27" s="39">
        <f t="shared" si="0"/>
        <v>0</v>
      </c>
    </row>
    <row r="28" spans="1:6" ht="12">
      <c r="A28" t="s">
        <v>147</v>
      </c>
      <c r="B28" t="s">
        <v>61</v>
      </c>
      <c r="C28" s="10"/>
      <c r="D28" s="7">
        <v>600</v>
      </c>
      <c r="E28" s="58">
        <v>600</v>
      </c>
      <c r="F28" s="39">
        <f t="shared" si="0"/>
        <v>0</v>
      </c>
    </row>
    <row r="29" spans="1:6" ht="12">
      <c r="A29" t="s">
        <v>148</v>
      </c>
      <c r="B29" t="s">
        <v>149</v>
      </c>
      <c r="C29" s="10"/>
      <c r="D29" s="7">
        <v>800</v>
      </c>
      <c r="E29" s="58">
        <v>800</v>
      </c>
      <c r="F29" s="39">
        <f t="shared" si="0"/>
        <v>0</v>
      </c>
    </row>
    <row r="30" spans="1:6" ht="12">
      <c r="A30" t="s">
        <v>406</v>
      </c>
      <c r="B30" t="s">
        <v>67</v>
      </c>
      <c r="C30" s="10"/>
      <c r="D30" s="7">
        <f>450+670+140+55</f>
        <v>1315</v>
      </c>
      <c r="E30" s="58">
        <f>450+670+140+55</f>
        <v>1315</v>
      </c>
      <c r="F30" s="39">
        <f t="shared" si="0"/>
        <v>0</v>
      </c>
    </row>
    <row r="31" spans="1:6" ht="12">
      <c r="A31" t="s">
        <v>150</v>
      </c>
      <c r="B31" t="s">
        <v>151</v>
      </c>
      <c r="C31" s="10"/>
      <c r="D31" s="7">
        <v>5000</v>
      </c>
      <c r="E31" s="58">
        <v>5000</v>
      </c>
      <c r="F31" s="39">
        <f t="shared" si="0"/>
        <v>0</v>
      </c>
    </row>
    <row r="32" spans="1:6" ht="12">
      <c r="A32" t="s">
        <v>152</v>
      </c>
      <c r="B32" t="s">
        <v>153</v>
      </c>
      <c r="C32" s="10"/>
      <c r="D32" s="7">
        <v>700</v>
      </c>
      <c r="E32" s="58">
        <v>700</v>
      </c>
      <c r="F32" s="39">
        <f t="shared" si="0"/>
        <v>0</v>
      </c>
    </row>
    <row r="33" spans="1:6" ht="12">
      <c r="A33" t="s">
        <v>154</v>
      </c>
      <c r="B33" t="s">
        <v>155</v>
      </c>
      <c r="C33" s="10"/>
      <c r="D33" s="7">
        <v>840</v>
      </c>
      <c r="E33" s="58">
        <v>840</v>
      </c>
      <c r="F33" s="39">
        <f t="shared" si="0"/>
        <v>0</v>
      </c>
    </row>
    <row r="34" spans="1:6" ht="12">
      <c r="A34" t="s">
        <v>156</v>
      </c>
      <c r="B34" t="s">
        <v>157</v>
      </c>
      <c r="C34" s="10"/>
      <c r="D34" s="7">
        <v>5600</v>
      </c>
      <c r="E34" s="58">
        <v>5600</v>
      </c>
      <c r="F34" s="39">
        <f t="shared" si="0"/>
        <v>0</v>
      </c>
    </row>
    <row r="35" spans="1:6" ht="13.5">
      <c r="A35" t="s">
        <v>158</v>
      </c>
      <c r="B35" t="s">
        <v>395</v>
      </c>
      <c r="C35" s="10"/>
      <c r="D35" s="41">
        <f>4000+204+1829</f>
        <v>6033</v>
      </c>
      <c r="E35" s="59">
        <f>4000+204+1829</f>
        <v>6033</v>
      </c>
      <c r="F35" s="40">
        <f t="shared" si="0"/>
        <v>0</v>
      </c>
    </row>
    <row r="36" spans="2:6" ht="12.75" thickBot="1">
      <c r="B36" t="s">
        <v>330</v>
      </c>
      <c r="C36" s="10"/>
      <c r="D36" s="5">
        <f>SUM(D6:D35)</f>
        <v>216506</v>
      </c>
      <c r="E36" s="63">
        <f>SUM(E6:E35)</f>
        <v>244623</v>
      </c>
      <c r="F36" s="39">
        <f t="shared" si="0"/>
        <v>28117</v>
      </c>
    </row>
    <row r="37" ht="12.75" thickBot="1"/>
    <row r="38" spans="1:6" ht="12">
      <c r="A38" t="s">
        <v>239</v>
      </c>
      <c r="B38" t="s">
        <v>436</v>
      </c>
      <c r="D38" s="7">
        <v>2256</v>
      </c>
      <c r="E38" s="66">
        <f>2256+134</f>
        <v>2390</v>
      </c>
      <c r="F38" s="39">
        <f>E38-D38</f>
        <v>134</v>
      </c>
    </row>
    <row r="39" spans="1:6" ht="13.5">
      <c r="A39" t="s">
        <v>240</v>
      </c>
      <c r="B39" t="s">
        <v>437</v>
      </c>
      <c r="D39" s="41">
        <v>1046</v>
      </c>
      <c r="E39" s="65">
        <f>1046+66</f>
        <v>1112</v>
      </c>
      <c r="F39" s="40">
        <f>E39-D39</f>
        <v>66</v>
      </c>
    </row>
    <row r="40" spans="2:6" ht="12.75" thickBot="1">
      <c r="B40" t="s">
        <v>337</v>
      </c>
      <c r="D40" s="29">
        <f>SUM(D38:D39)</f>
        <v>3302</v>
      </c>
      <c r="E40" s="69">
        <f>SUM(E38:E39)</f>
        <v>3502</v>
      </c>
      <c r="F40" s="29">
        <f>SUM(F38:F39)</f>
        <v>200</v>
      </c>
    </row>
    <row r="41" spans="4:6" ht="12">
      <c r="D41" s="29"/>
      <c r="E41" s="68"/>
      <c r="F41" s="29"/>
    </row>
    <row r="42" spans="1:6" ht="12">
      <c r="A42" s="42" t="s">
        <v>440</v>
      </c>
      <c r="D42" s="29"/>
      <c r="E42" s="70">
        <f>E36+E40</f>
        <v>248125</v>
      </c>
      <c r="F42" s="29">
        <f>F36+F40</f>
        <v>28317</v>
      </c>
    </row>
    <row r="43" spans="4:6" ht="12">
      <c r="D43" s="29"/>
      <c r="E43" s="68"/>
      <c r="F43" s="29"/>
    </row>
    <row r="45" spans="1:6" ht="12">
      <c r="A45" s="42" t="s">
        <v>442</v>
      </c>
      <c r="E45" s="71">
        <f>229248+3302</f>
        <v>232550</v>
      </c>
      <c r="F45" s="5">
        <v>12742</v>
      </c>
    </row>
    <row r="46" spans="1:6" ht="13.5">
      <c r="A46" s="42" t="s">
        <v>440</v>
      </c>
      <c r="E46" s="72">
        <v>248125</v>
      </c>
      <c r="F46" s="5">
        <f>F42</f>
        <v>28317</v>
      </c>
    </row>
    <row r="47" spans="1:6" ht="13.5">
      <c r="A47" s="42"/>
      <c r="E47" s="45"/>
      <c r="F47" s="5"/>
    </row>
    <row r="48" spans="1:6" ht="12">
      <c r="A48" s="42" t="s">
        <v>441</v>
      </c>
      <c r="E48" s="73">
        <f>E46-E45</f>
        <v>15575</v>
      </c>
      <c r="F48" s="29"/>
    </row>
    <row r="49" ht="12">
      <c r="F49" s="29"/>
    </row>
    <row r="50" spans="1:5" ht="12">
      <c r="A50" s="42" t="s">
        <v>443</v>
      </c>
      <c r="E50" s="74">
        <v>0.75</v>
      </c>
    </row>
    <row r="51" ht="12">
      <c r="E51" s="29"/>
    </row>
    <row r="52" spans="1:5" ht="12">
      <c r="A52" t="s">
        <v>444</v>
      </c>
      <c r="E52" s="75">
        <f>18.4+0.75</f>
        <v>19.15</v>
      </c>
    </row>
    <row r="54" spans="1:5" ht="12">
      <c r="A54" t="s">
        <v>445</v>
      </c>
      <c r="E54" s="74">
        <f>E52-17.35</f>
        <v>1.7999999999999972</v>
      </c>
    </row>
  </sheetData>
  <sheetProtection/>
  <mergeCells count="1">
    <mergeCell ref="A1:F1"/>
  </mergeCells>
  <printOptions horizontalCentered="1"/>
  <pageMargins left="0.75" right="0.75" top="0.7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Borough of South Greensburg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Kunkle</dc:creator>
  <cp:keywords/>
  <dc:description/>
  <cp:lastModifiedBy>Lee</cp:lastModifiedBy>
  <cp:lastPrinted>2017-10-30T18:20:17Z</cp:lastPrinted>
  <dcterms:created xsi:type="dcterms:W3CDTF">1997-10-20T19:03:46Z</dcterms:created>
  <dcterms:modified xsi:type="dcterms:W3CDTF">2017-11-15T19:25:54Z</dcterms:modified>
  <cp:category/>
  <cp:version/>
  <cp:contentType/>
  <cp:contentStatus/>
</cp:coreProperties>
</file>